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155" windowHeight="7170" activeTab="5"/>
  </bookViews>
  <sheets>
    <sheet name="Letna poročila" sheetId="1" r:id="rId1"/>
    <sheet name="Poslovni vzvod" sheetId="2" r:id="rId2"/>
    <sheet name="Finančni vzvod" sheetId="3" r:id="rId3"/>
    <sheet name="Celotni vzvod" sheetId="4" r:id="rId4"/>
    <sheet name="Altmanov obrazec" sheetId="5" r:id="rId5"/>
    <sheet name="Weinrichov model" sheetId="6" r:id="rId6"/>
    <sheet name="DuPont" sheetId="7" r:id="rId7"/>
    <sheet name="Subvencije" sheetId="8" r:id="rId8"/>
  </sheets>
  <definedNames/>
  <calcPr fullCalcOnLoad="1"/>
</workbook>
</file>

<file path=xl/sharedStrings.xml><?xml version="1.0" encoding="utf-8"?>
<sst xmlns="http://schemas.openxmlformats.org/spreadsheetml/2006/main" count="613" uniqueCount="228">
  <si>
    <t>SREDSTVA</t>
  </si>
  <si>
    <t>A.</t>
  </si>
  <si>
    <t>DOLGOROČNA SREDSTVA</t>
  </si>
  <si>
    <t>I.</t>
  </si>
  <si>
    <t>Neopredmetena sredstva in dolgoročne aktivne časovne razmejitve</t>
  </si>
  <si>
    <t>II.</t>
  </si>
  <si>
    <t>Opredmetena osnovna sredstva</t>
  </si>
  <si>
    <t>III.</t>
  </si>
  <si>
    <t>Naložbene nepremičnine</t>
  </si>
  <si>
    <t>IV.</t>
  </si>
  <si>
    <t>Dolgoročne finančne naložbe</t>
  </si>
  <si>
    <t>1.</t>
  </si>
  <si>
    <t>Dolgoročne finančne naložbe, razen posojil</t>
  </si>
  <si>
    <t>2.</t>
  </si>
  <si>
    <t>Dolgoročna posojila</t>
  </si>
  <si>
    <t>V.</t>
  </si>
  <si>
    <t>Dolgoročne poslovne terjatve</t>
  </si>
  <si>
    <t>VI.</t>
  </si>
  <si>
    <t>Odložene terjatve za davek</t>
  </si>
  <si>
    <t>B.</t>
  </si>
  <si>
    <t>KRATKOROČNA SREDSTVA</t>
  </si>
  <si>
    <t>Sredstva (skupine za odtujitev) za prodajo</t>
  </si>
  <si>
    <t>Zaloge</t>
  </si>
  <si>
    <t>Kratkoročne finančne naložbe</t>
  </si>
  <si>
    <t>Kratkoročne finančne naložbe, razen posojil</t>
  </si>
  <si>
    <t>Kratkoročna posojila</t>
  </si>
  <si>
    <t>Kratkoročne poslovne terjatve</t>
  </si>
  <si>
    <t>Denarna sredstva</t>
  </si>
  <si>
    <t>C.</t>
  </si>
  <si>
    <t>KRATKOROČNE AKTIVNE ČASOVNE RAZMEJITVE</t>
  </si>
  <si>
    <t>Zabilančna sredstva</t>
  </si>
  <si>
    <t>OBVEZNOSTI DO VIROV SREDSTEV</t>
  </si>
  <si>
    <t>KAPITAL</t>
  </si>
  <si>
    <t>Vpoklicani kapital</t>
  </si>
  <si>
    <t>Osnovni kapital</t>
  </si>
  <si>
    <t>Nevpoklicani kapital (kot odbitna postavka)</t>
  </si>
  <si>
    <t>Kapitalske rezerve</t>
  </si>
  <si>
    <t>Rezerve iz dobička</t>
  </si>
  <si>
    <t>Presežek iz prevrednotenja</t>
  </si>
  <si>
    <t>Preneseni čisti poslovni izid (preneseni čisti dobiček/izguba)</t>
  </si>
  <si>
    <t>REZERVACIJE IN DOLGOROČNE PASIVNE ČASOVNE RAZMEJITVE</t>
  </si>
  <si>
    <t>Rezervacije</t>
  </si>
  <si>
    <t>Dolgoročne pasivne časovne razmejitve</t>
  </si>
  <si>
    <t>DOLGOROČNE OBVEZNOSTI</t>
  </si>
  <si>
    <t>Dolgoročne finančne obveznosti</t>
  </si>
  <si>
    <t>Dolgoročne poslovne obveznosti</t>
  </si>
  <si>
    <t>Odložene obveznosti za davek</t>
  </si>
  <si>
    <t>Č.</t>
  </si>
  <si>
    <t>KRATKOROČNE OBVEZNOSTI</t>
  </si>
  <si>
    <t>Obveznosti, vključene v skupine za odtujitev</t>
  </si>
  <si>
    <t>Kratkoročne finančne obveznosti</t>
  </si>
  <si>
    <t>Kratkoročne poslovne obveznosti</t>
  </si>
  <si>
    <t>D.</t>
  </si>
  <si>
    <t>KRATKOROČNE PASIVNE ČASOVNE RAZMEJITVE</t>
  </si>
  <si>
    <t>Zabilančne obveznosti</t>
  </si>
  <si>
    <t>KOSMATI DONOS OD POSLOVANJA</t>
  </si>
  <si>
    <t>ČISTI PRIHODKI OD PRODAJE ***</t>
  </si>
  <si>
    <t>SPREMEMBA VREDNOSTI ZALOG PROIZVODOV IN NEDOKONČANE PROIZVODNJE</t>
  </si>
  <si>
    <t>USREDSTVENI LASTNI PROIZVODI IN LASTNE STORITVE</t>
  </si>
  <si>
    <t>DRUGI POSLOVNI PRIHODKI (S PREVREDNOTOVALNIMI POSLOVNIMI PRIHODKI)</t>
  </si>
  <si>
    <t>POSLOVNI ODHODKI SKUPAJ</t>
  </si>
  <si>
    <t>Stroški blaga, materiala in storitev</t>
  </si>
  <si>
    <t>Nabavna vrednost prodanega blaga in materiala ter stroški porabljenega materiala</t>
  </si>
  <si>
    <t>Stroški storitev</t>
  </si>
  <si>
    <t>Stroški dela</t>
  </si>
  <si>
    <t>Stroški plač</t>
  </si>
  <si>
    <t>Stroški pokojninskih zavarovanj</t>
  </si>
  <si>
    <t>3.</t>
  </si>
  <si>
    <t>Stroški drugih socialnih zavarovanj</t>
  </si>
  <si>
    <t>4.</t>
  </si>
  <si>
    <t>Drugi stroški dela</t>
  </si>
  <si>
    <t>Odpisi vrednosti</t>
  </si>
  <si>
    <t>Amortizacija</t>
  </si>
  <si>
    <t>Prevrednotovalni poslovni odhodki pri obratnih sredstvih</t>
  </si>
  <si>
    <t>Drugi poslovni odhodki</t>
  </si>
  <si>
    <t>E.</t>
  </si>
  <si>
    <t>DOBIČEK/IZGUBA IZ POSLOVANJA</t>
  </si>
  <si>
    <t>F.</t>
  </si>
  <si>
    <t>FINANČNI PRIHODKI</t>
  </si>
  <si>
    <t>Finančni prihodki iz deležev</t>
  </si>
  <si>
    <t>Finančni prihodki iz danih posojil</t>
  </si>
  <si>
    <t>Finančni prihodki iz poslovnih terjatev</t>
  </si>
  <si>
    <t>G.</t>
  </si>
  <si>
    <t>FINANČNI ODHODKI</t>
  </si>
  <si>
    <t>Finančni odhodki iz oslabitve in odpisov finančnih naložb</t>
  </si>
  <si>
    <t>Finančni odhodki iz finančnih obveznosti</t>
  </si>
  <si>
    <t>Finančni odhodki iz poslovnih obveznosti</t>
  </si>
  <si>
    <t>H.</t>
  </si>
  <si>
    <t>DRUGI PRIHODKI</t>
  </si>
  <si>
    <t>DRUGI ODHODKI</t>
  </si>
  <si>
    <t>J.</t>
  </si>
  <si>
    <t>POSLOVNI IZID SKUPAJ</t>
  </si>
  <si>
    <t>K.</t>
  </si>
  <si>
    <t>DAVEK IZ DOBIČKA</t>
  </si>
  <si>
    <t>L.</t>
  </si>
  <si>
    <t>ODLOŽENI DAVKI</t>
  </si>
  <si>
    <t>M.</t>
  </si>
  <si>
    <t>ČISTI POSLOVNI IZID OBRAČUNSKEGA OBDOBJA (ČISTI DOBIČEK/IZGUBA OBRAČUNSKEGA OBDOBJA)</t>
  </si>
  <si>
    <t>N.</t>
  </si>
  <si>
    <t>PRENESENI ČISTI DOBIČEK/IZGUBA</t>
  </si>
  <si>
    <t>O.</t>
  </si>
  <si>
    <t>ZMANJŠANJE KAPITALSKIH REZERV</t>
  </si>
  <si>
    <t>P.</t>
  </si>
  <si>
    <t>ZMANJŠANJE REZERV IZ DOBIČKA</t>
  </si>
  <si>
    <t>R.</t>
  </si>
  <si>
    <t>POVEČANJE REZERV IZ DOBIČKA</t>
  </si>
  <si>
    <t>S.</t>
  </si>
  <si>
    <t>BILANČNI DOBIČEK/IZGUBA</t>
  </si>
  <si>
    <t>Prevredn.poslovni odhodki pri neopredm.dolg. sredstvih in opr.osnov.sredstvih</t>
  </si>
  <si>
    <t>Čisti poslovni izid poslovnega leta (čisti dobiček/izguba leta)</t>
  </si>
  <si>
    <t>FC</t>
  </si>
  <si>
    <t>VC</t>
  </si>
  <si>
    <t>FC-2007</t>
  </si>
  <si>
    <t>VC-2007</t>
  </si>
  <si>
    <t>PV = (TR-VC)/TP</t>
  </si>
  <si>
    <t>2007+1%</t>
  </si>
  <si>
    <t>FC-2008</t>
  </si>
  <si>
    <t>VC-2008</t>
  </si>
  <si>
    <t>FC-2009</t>
  </si>
  <si>
    <t>VC-2009</t>
  </si>
  <si>
    <t>FC-2010</t>
  </si>
  <si>
    <t>VC-2010</t>
  </si>
  <si>
    <t>FC-2011</t>
  </si>
  <si>
    <t>VC-2011</t>
  </si>
  <si>
    <t>FC-2012</t>
  </si>
  <si>
    <t>VC-2012</t>
  </si>
  <si>
    <t>DOBIČKOVNOST POSLOVNIH PRIHODKOV</t>
  </si>
  <si>
    <t>FV = (TP/(TP - I )</t>
  </si>
  <si>
    <t>Finančni odhodki (I)</t>
  </si>
  <si>
    <t>Dobiček iz poslovanja (TP)</t>
  </si>
  <si>
    <t>PV</t>
  </si>
  <si>
    <t>FV</t>
  </si>
  <si>
    <t>CV</t>
  </si>
  <si>
    <t xml:space="preserve">Celotna sredstva </t>
  </si>
  <si>
    <t>Obratna sredstva</t>
  </si>
  <si>
    <t>Nerazporejeni dobiček</t>
  </si>
  <si>
    <t>Dobiček iz poslovanja</t>
  </si>
  <si>
    <t>Tržna vrednost delnic - celotni kapital</t>
  </si>
  <si>
    <t>Knjigovodska vrednosti celotnih obveznosti</t>
  </si>
  <si>
    <t>Čisti prihodki od prodaja</t>
  </si>
  <si>
    <t>T1</t>
  </si>
  <si>
    <t>T2</t>
  </si>
  <si>
    <t>T3</t>
  </si>
  <si>
    <t>T4</t>
  </si>
  <si>
    <t>T5</t>
  </si>
  <si>
    <t>Z-koeficient</t>
  </si>
  <si>
    <t>Lastniški kapital</t>
  </si>
  <si>
    <t>Dolžniški kapital</t>
  </si>
  <si>
    <t>K1</t>
  </si>
  <si>
    <t>K2</t>
  </si>
  <si>
    <t>K3</t>
  </si>
  <si>
    <t>K4</t>
  </si>
  <si>
    <t>K5</t>
  </si>
  <si>
    <t>K6</t>
  </si>
  <si>
    <t>K7</t>
  </si>
  <si>
    <t>K8</t>
  </si>
  <si>
    <t>Likvidna sredstva</t>
  </si>
  <si>
    <t>Denar</t>
  </si>
  <si>
    <t>Odhodki iz poslovanja</t>
  </si>
  <si>
    <t>Dobiček pred obdavčitvijo</t>
  </si>
  <si>
    <t>Odhodki financiranja</t>
  </si>
  <si>
    <t>Prihodki od prodaja</t>
  </si>
  <si>
    <t>Čisti dobiček</t>
  </si>
  <si>
    <t>PČR</t>
  </si>
  <si>
    <t>AČR</t>
  </si>
  <si>
    <t>Preneseni poslovnih izid</t>
  </si>
  <si>
    <t>Cash flow</t>
  </si>
  <si>
    <t>Neto prejemki</t>
  </si>
  <si>
    <t>Nabavna vrednost materiala</t>
  </si>
  <si>
    <t>Obveznosti do dobaviteljev</t>
  </si>
  <si>
    <t>Koeficienti</t>
  </si>
  <si>
    <t>Točke</t>
  </si>
  <si>
    <t>Kratkoročni tuj kapital</t>
  </si>
  <si>
    <t>Dobiček iz poslovanja - EBIT</t>
  </si>
  <si>
    <t>Prihodki od prodaje</t>
  </si>
  <si>
    <t>Sredstva</t>
  </si>
  <si>
    <t>Kapital</t>
  </si>
  <si>
    <t>čisti dobiček / bruto dobiček</t>
  </si>
  <si>
    <t>ROE</t>
  </si>
  <si>
    <t>bruto dobiček/EBIT</t>
  </si>
  <si>
    <t>Dobiček pred obdavčitvijo - bruto dobiček</t>
  </si>
  <si>
    <t>EBIT/prihodki od prodaje</t>
  </si>
  <si>
    <t>sredstva/kapital</t>
  </si>
  <si>
    <t>Datum</t>
  </si>
  <si>
    <t xml:space="preserve">TIA Javna agencija za tehnološki razvoj RS </t>
  </si>
  <si>
    <t xml:space="preserve"> Pipistrel d.o.o. Ajdovščina,    </t>
  </si>
  <si>
    <t xml:space="preserve"> subvencija </t>
  </si>
  <si>
    <t xml:space="preserve">Javni sklad RS za podjetništvo             </t>
  </si>
  <si>
    <t xml:space="preserve"> PIPISTREL PODJETJE ZA ALTERNATIVNO LETALSTVO D.O.O. AJDOVŠČINA, Ajdovščina </t>
  </si>
  <si>
    <t xml:space="preserve"> POROŠTVO / GARANCIJA P1B 09 - Garancije Sklada za bančne kredite s subvencijo  obrestne mere </t>
  </si>
  <si>
    <t xml:space="preserve">Javni sklad RS za podjetništvo </t>
  </si>
  <si>
    <t xml:space="preserve"> POROŠTVO / GARANCIJA P1 TIP 2012 - Garancije Sklada za bančne kredite s subvencijo obrestne mere namenjene tehnološko inovativnim projektom </t>
  </si>
  <si>
    <t xml:space="preserve">Ministrstvo za gospodarski razvoj in tehnologijo </t>
  </si>
  <si>
    <t xml:space="preserve"> PIPISTREL D.O.O., AJDOVŠČINA Krepitev razvojnih oddelkov v podjetjih - PIPISTREL </t>
  </si>
  <si>
    <t xml:space="preserve"> Sredstva za pospeševanje tehnološkega razvoja v privat.podj. </t>
  </si>
  <si>
    <t xml:space="preserve">Javna agencija za raziskovalno dejavnost RS </t>
  </si>
  <si>
    <t xml:space="preserve"> PIPISTREL Podjetje za alternativno letalstvo d.o.o., Ajdovščina Avtomatična optimizacija aerodinamičnih površin </t>
  </si>
  <si>
    <t xml:space="preserve"> Sredstva za pospeševanje tehnološkega razvoja v podjetjih </t>
  </si>
  <si>
    <t xml:space="preserve">SPIRIT Javna agencija RS za spodbujanje podjetništva, inovativnosti, razvoja, investicij in turizma </t>
  </si>
  <si>
    <t xml:space="preserve"> PIPISTREL PODJETJE ZA ALTERNATIVNO LETAL, GORIŠKA CESTA 50A, AJDOVŠČINA ,  Mladi raziskovalci </t>
  </si>
  <si>
    <t xml:space="preserve">Javni sklad RS za razvoj kadrov in štipendije </t>
  </si>
  <si>
    <t xml:space="preserve"> PIPISTREL d.o.o. Ajdovšcina, Goriška cesta 50 A, 5270 Ajdovščina OP13.2.1.3.07.0001 Usposabljanje in izobraževanje zaposlenih </t>
  </si>
  <si>
    <t xml:space="preserve"> Druge subvencije privatnim podjetjem in zasebnikom </t>
  </si>
  <si>
    <t xml:space="preserve"> PIPISTREL Podjetje za alternativno letalstvo d.o.o., Ajdovščina Raziskava metod za izdelavo organiskih sončnih celic na velikih površinah </t>
  </si>
  <si>
    <t xml:space="preserve">JAPTI Javna agencija za podjetništvo in tuje investicije </t>
  </si>
  <si>
    <t xml:space="preserve"> PIPISTREL D.O.O. AJDOVŠČINA, GORIŠKA CESTA 50 A, AJDOVŠČINA ,  inovacijski vavčer </t>
  </si>
  <si>
    <t xml:space="preserve"> PIPISTREL Podjetje za alternativno  raziskovalno dejavnost RS </t>
  </si>
  <si>
    <t xml:space="preserve"> PIPISTREL D.O.O. AJDOVŠČINA, GORIŠKA CESTA 50 A, AJDOVŠČINA ,  </t>
  </si>
  <si>
    <t xml:space="preserve"> povečanje mobilnosti visok. kadrov v gospodarstvu subvencija </t>
  </si>
  <si>
    <t xml:space="preserve"> PIPISTREL D.O.O. AJDOVŠČINA, GORIŠKA CESTA 50 A, AJDOVŠČINA ,  podpora za tržne analize in študije </t>
  </si>
  <si>
    <t xml:space="preserve"> PIPISTREL D.O.O. AJDOVŠČINA, GORIŠKA CESTA 50 A, AJDOVŠČINA ,  povečanje mobilnosti visok. kadrov v gospodarstvu </t>
  </si>
  <si>
    <t xml:space="preserve"> PIPISTREL Podjetje za alternativno letalstvo d.o.o., Ajdovščina </t>
  </si>
  <si>
    <t xml:space="preserve"> Development and validation of hybrid propulsion system components and sub-systems for electrical aircraft Sredstva za pospeševanje tehnološkega razvoja v podjetjih </t>
  </si>
  <si>
    <t xml:space="preserve">agencija za tehnološki razvoj RS </t>
  </si>
  <si>
    <t xml:space="preserve"> Investicijski transfer privatnim podjetjem </t>
  </si>
  <si>
    <t xml:space="preserve"> PIPISTREL Podjetje za alternativno letalstvo d.o.o., Ajdovščina Avtomatična optimizacija aerodinamičnih površin  Sredstva za pospeševanje tehnološkega razvoja v podjetjih </t>
  </si>
  <si>
    <t>leto 2009</t>
  </si>
  <si>
    <t>leto 2010</t>
  </si>
  <si>
    <t>leto 2011</t>
  </si>
  <si>
    <t>leto 2012</t>
  </si>
  <si>
    <t>Znesek</t>
  </si>
  <si>
    <t>Organ</t>
  </si>
  <si>
    <t>Prejemnik</t>
  </si>
  <si>
    <t>namen</t>
  </si>
  <si>
    <t>Supervizor</t>
  </si>
  <si>
    <t>leto 2007</t>
  </si>
  <si>
    <t>leto 2008</t>
  </si>
  <si>
    <t>Subvencije po letih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</si>
</sst>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name val="Arial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4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NumberFormat="1" applyFont="1" applyBorder="1" applyAlignment="1">
      <alignment/>
    </xf>
    <xf numFmtId="0" fontId="38" fillId="0" borderId="0" xfId="0" applyNumberFormat="1" applyFont="1" applyFill="1" applyBorder="1" applyAlignment="1">
      <alignment/>
    </xf>
    <xf numFmtId="4" fontId="38" fillId="0" borderId="0" xfId="0" applyNumberFormat="1" applyFont="1" applyAlignment="1">
      <alignment wrapText="1"/>
    </xf>
    <xf numFmtId="0" fontId="38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 vertical="top"/>
    </xf>
    <xf numFmtId="164" fontId="38" fillId="0" borderId="0" xfId="0" applyNumberFormat="1" applyFont="1" applyBorder="1" applyAlignment="1">
      <alignment horizontal="right"/>
    </xf>
    <xf numFmtId="164" fontId="38" fillId="0" borderId="0" xfId="0" applyNumberFormat="1" applyFont="1" applyBorder="1" applyAlignment="1">
      <alignment horizontal="right" vertical="top"/>
    </xf>
    <xf numFmtId="164" fontId="38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4" fontId="38" fillId="0" borderId="0" xfId="0" applyNumberFormat="1" applyFont="1" applyAlignment="1">
      <alignment/>
    </xf>
    <xf numFmtId="0" fontId="38" fillId="0" borderId="0" xfId="0" applyNumberFormat="1" applyFont="1" applyAlignment="1">
      <alignment wrapText="1"/>
    </xf>
    <xf numFmtId="1" fontId="38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justify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38" fillId="0" borderId="0" xfId="0" applyNumberFormat="1" applyFont="1" applyBorder="1" applyAlignment="1">
      <alignment horizontal="right" vertical="center"/>
    </xf>
    <xf numFmtId="4" fontId="38" fillId="0" borderId="0" xfId="0" applyNumberFormat="1" applyFont="1" applyBorder="1" applyAlignment="1" applyProtection="1">
      <alignment/>
      <protection locked="0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0" xfId="0" applyNumberFormat="1" applyFont="1" applyAlignment="1">
      <alignment/>
    </xf>
    <xf numFmtId="0" fontId="39" fillId="0" borderId="0" xfId="0" applyNumberFormat="1" applyFont="1" applyBorder="1" applyAlignment="1">
      <alignment/>
    </xf>
    <xf numFmtId="0" fontId="39" fillId="0" borderId="0" xfId="0" applyNumberFormat="1" applyFont="1" applyAlignment="1">
      <alignment wrapText="1"/>
    </xf>
    <xf numFmtId="4" fontId="39" fillId="0" borderId="0" xfId="0" applyNumberFormat="1" applyFont="1" applyAlignment="1">
      <alignment wrapText="1"/>
    </xf>
    <xf numFmtId="0" fontId="38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4" fontId="39" fillId="33" borderId="0" xfId="0" applyNumberFormat="1" applyFont="1" applyFill="1" applyAlignment="1">
      <alignment wrapText="1"/>
    </xf>
    <xf numFmtId="0" fontId="38" fillId="33" borderId="0" xfId="0" applyFont="1" applyFill="1" applyAlignment="1">
      <alignment wrapText="1"/>
    </xf>
    <xf numFmtId="4" fontId="38" fillId="33" borderId="0" xfId="0" applyNumberFormat="1" applyFont="1" applyFill="1" applyAlignment="1">
      <alignment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right" wrapText="1"/>
    </xf>
    <xf numFmtId="4" fontId="37" fillId="0" borderId="0" xfId="0" applyNumberFormat="1" applyFont="1" applyAlignment="1">
      <alignment/>
    </xf>
    <xf numFmtId="10" fontId="39" fillId="0" borderId="0" xfId="0" applyNumberFormat="1" applyFont="1" applyAlignment="1">
      <alignment horizontal="right" wrapText="1"/>
    </xf>
    <xf numFmtId="4" fontId="0" fillId="0" borderId="0" xfId="0" applyNumberFormat="1" applyFont="1" applyBorder="1" applyAlignment="1">
      <alignment/>
    </xf>
    <xf numFmtId="4" fontId="39" fillId="0" borderId="0" xfId="0" applyNumberFormat="1" applyFont="1" applyBorder="1" applyAlignment="1">
      <alignment wrapText="1"/>
    </xf>
    <xf numFmtId="4" fontId="39" fillId="0" borderId="0" xfId="0" applyNumberFormat="1" applyFont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165" fontId="38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14" fontId="39" fillId="0" borderId="0" xfId="0" applyNumberFormat="1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pane ySplit="1" topLeftCell="A85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3.140625" style="0" customWidth="1"/>
    <col min="2" max="2" width="61.421875" style="0" customWidth="1"/>
    <col min="3" max="8" width="13.28125" style="0" customWidth="1"/>
    <col min="9" max="9" width="11.28125" style="0" customWidth="1"/>
    <col min="10" max="10" width="12.28125" style="0" bestFit="1" customWidth="1"/>
  </cols>
  <sheetData>
    <row r="1" spans="1:10" ht="15">
      <c r="A1" s="5"/>
      <c r="C1" s="26">
        <v>2007</v>
      </c>
      <c r="D1" s="27">
        <v>2008</v>
      </c>
      <c r="E1" s="28">
        <v>2009</v>
      </c>
      <c r="F1" s="28">
        <v>2010</v>
      </c>
      <c r="G1" s="28">
        <v>2011</v>
      </c>
      <c r="H1" s="29">
        <v>2012</v>
      </c>
      <c r="I1" s="10"/>
      <c r="J1" s="3"/>
    </row>
    <row r="2" spans="1:10" ht="15.75">
      <c r="A2" s="32"/>
      <c r="B2" s="33" t="s">
        <v>0</v>
      </c>
      <c r="C2" s="34">
        <f aca="true" t="shared" si="0" ref="C2:H2">+(C3+C12+C20)</f>
        <v>5138420</v>
      </c>
      <c r="D2" s="34">
        <f t="shared" si="0"/>
        <v>6215073</v>
      </c>
      <c r="E2" s="34">
        <f t="shared" si="0"/>
        <v>7480076</v>
      </c>
      <c r="F2" s="34">
        <f t="shared" si="0"/>
        <v>7562777</v>
      </c>
      <c r="G2" s="34">
        <f t="shared" si="0"/>
        <v>8800068</v>
      </c>
      <c r="H2" s="34">
        <f t="shared" si="0"/>
        <v>10059203</v>
      </c>
      <c r="I2" s="10"/>
      <c r="J2" s="3"/>
    </row>
    <row r="3" spans="1:10" ht="15">
      <c r="A3" s="27" t="s">
        <v>1</v>
      </c>
      <c r="B3" s="26" t="s">
        <v>2</v>
      </c>
      <c r="C3" s="31">
        <f aca="true" t="shared" si="1" ref="C3:H3">+(C4+C5+C6+C7+C10+C11)</f>
        <v>3516238</v>
      </c>
      <c r="D3" s="31">
        <f t="shared" si="1"/>
        <v>4537736</v>
      </c>
      <c r="E3" s="31">
        <f t="shared" si="1"/>
        <v>5027969</v>
      </c>
      <c r="F3" s="31">
        <f t="shared" si="1"/>
        <v>5066635</v>
      </c>
      <c r="G3" s="31">
        <f t="shared" si="1"/>
        <v>5639376</v>
      </c>
      <c r="H3" s="31">
        <f t="shared" si="1"/>
        <v>5513017</v>
      </c>
      <c r="I3" s="12"/>
      <c r="J3" s="3"/>
    </row>
    <row r="4" spans="1:10" ht="15">
      <c r="A4" s="5" t="s">
        <v>3</v>
      </c>
      <c r="B4" s="6" t="s">
        <v>4</v>
      </c>
      <c r="C4" s="11">
        <v>222447</v>
      </c>
      <c r="D4" s="11">
        <v>296286</v>
      </c>
      <c r="E4" s="11">
        <v>331934</v>
      </c>
      <c r="F4" s="11">
        <v>306635</v>
      </c>
      <c r="G4" s="11">
        <v>742927</v>
      </c>
      <c r="H4" s="11">
        <v>1106948</v>
      </c>
      <c r="I4" s="13"/>
      <c r="J4" s="3"/>
    </row>
    <row r="5" spans="1:10" ht="15">
      <c r="A5" s="5" t="s">
        <v>5</v>
      </c>
      <c r="B5" s="6" t="s">
        <v>6</v>
      </c>
      <c r="C5" s="11">
        <v>2871900</v>
      </c>
      <c r="D5" s="11">
        <v>3821450</v>
      </c>
      <c r="E5" s="11">
        <v>4676035</v>
      </c>
      <c r="F5" s="11">
        <v>4731000</v>
      </c>
      <c r="G5" s="11">
        <v>4826776</v>
      </c>
      <c r="H5" s="11">
        <v>4295756</v>
      </c>
      <c r="I5" s="12"/>
      <c r="J5" s="3"/>
    </row>
    <row r="6" spans="1:10" ht="15">
      <c r="A6" s="5" t="s">
        <v>7</v>
      </c>
      <c r="B6" s="6" t="s">
        <v>8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8"/>
      <c r="J6" s="3"/>
    </row>
    <row r="7" spans="1:10" ht="15">
      <c r="A7" s="5" t="s">
        <v>9</v>
      </c>
      <c r="B7" s="6" t="s">
        <v>10</v>
      </c>
      <c r="C7" s="11">
        <f aca="true" t="shared" si="2" ref="C7:H7">+(C8+C9)</f>
        <v>420000</v>
      </c>
      <c r="D7" s="11">
        <f t="shared" si="2"/>
        <v>420000</v>
      </c>
      <c r="E7" s="11">
        <f t="shared" si="2"/>
        <v>20000</v>
      </c>
      <c r="F7" s="11">
        <f t="shared" si="2"/>
        <v>29000</v>
      </c>
      <c r="G7" s="11">
        <f t="shared" si="2"/>
        <v>69673</v>
      </c>
      <c r="H7" s="11">
        <f t="shared" si="2"/>
        <v>110313</v>
      </c>
      <c r="I7" s="14"/>
      <c r="J7" s="3"/>
    </row>
    <row r="8" spans="1:10" ht="15">
      <c r="A8" s="5" t="s">
        <v>11</v>
      </c>
      <c r="B8" s="6" t="s">
        <v>12</v>
      </c>
      <c r="C8" s="11">
        <v>20000</v>
      </c>
      <c r="D8" s="11">
        <v>20000</v>
      </c>
      <c r="E8" s="11">
        <v>20000</v>
      </c>
      <c r="F8" s="11">
        <v>29000</v>
      </c>
      <c r="G8" s="11">
        <v>69673</v>
      </c>
      <c r="H8" s="11">
        <v>101913</v>
      </c>
      <c r="I8" s="15"/>
      <c r="J8" s="3"/>
    </row>
    <row r="9" spans="1:10" ht="15">
      <c r="A9" s="5" t="s">
        <v>13</v>
      </c>
      <c r="B9" s="6" t="s">
        <v>14</v>
      </c>
      <c r="C9" s="11">
        <v>400000</v>
      </c>
      <c r="D9" s="11">
        <v>400000</v>
      </c>
      <c r="E9" s="11">
        <v>0</v>
      </c>
      <c r="F9" s="11">
        <v>0</v>
      </c>
      <c r="G9" s="11">
        <v>0</v>
      </c>
      <c r="H9" s="11">
        <v>8400</v>
      </c>
      <c r="I9" s="15"/>
      <c r="J9" s="3"/>
    </row>
    <row r="10" spans="1:10" ht="15">
      <c r="A10" s="5" t="s">
        <v>15</v>
      </c>
      <c r="B10" s="6" t="s">
        <v>16</v>
      </c>
      <c r="C10" s="11">
        <v>1891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8"/>
      <c r="J10" s="3"/>
    </row>
    <row r="11" spans="1:10" ht="15">
      <c r="A11" s="5" t="s">
        <v>17</v>
      </c>
      <c r="B11" s="6" t="s">
        <v>18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8"/>
      <c r="J11" s="3"/>
    </row>
    <row r="12" spans="1:10" ht="15">
      <c r="A12" s="27" t="s">
        <v>19</v>
      </c>
      <c r="B12" s="26" t="s">
        <v>20</v>
      </c>
      <c r="C12" s="31">
        <f aca="true" t="shared" si="3" ref="C12:H12">+(C13+C14+C15+C18+C19)</f>
        <v>1592306</v>
      </c>
      <c r="D12" s="31">
        <f t="shared" si="3"/>
        <v>1649053</v>
      </c>
      <c r="E12" s="31">
        <f t="shared" si="3"/>
        <v>2407731</v>
      </c>
      <c r="F12" s="31">
        <f t="shared" si="3"/>
        <v>2444581</v>
      </c>
      <c r="G12" s="31">
        <f t="shared" si="3"/>
        <v>2761864</v>
      </c>
      <c r="H12" s="31">
        <f t="shared" si="3"/>
        <v>4506433</v>
      </c>
      <c r="I12" s="12"/>
      <c r="J12" s="3"/>
    </row>
    <row r="13" spans="1:10" ht="15">
      <c r="A13" s="5" t="s">
        <v>3</v>
      </c>
      <c r="B13" s="6" t="s">
        <v>21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8"/>
      <c r="J13" s="3"/>
    </row>
    <row r="14" spans="1:10" ht="15">
      <c r="A14" s="5" t="s">
        <v>5</v>
      </c>
      <c r="B14" s="6" t="s">
        <v>22</v>
      </c>
      <c r="C14" s="11">
        <v>879493</v>
      </c>
      <c r="D14" s="11">
        <v>1317715</v>
      </c>
      <c r="E14" s="11">
        <v>1565294</v>
      </c>
      <c r="F14" s="11">
        <v>1545188</v>
      </c>
      <c r="G14" s="11">
        <v>1719229</v>
      </c>
      <c r="H14" s="11">
        <v>2295016</v>
      </c>
      <c r="I14" s="12"/>
      <c r="J14" s="3"/>
    </row>
    <row r="15" spans="1:10" ht="15">
      <c r="A15" s="5" t="s">
        <v>7</v>
      </c>
      <c r="B15" s="6" t="s">
        <v>23</v>
      </c>
      <c r="C15" s="11">
        <f>+(C16+C17)</f>
        <v>0</v>
      </c>
      <c r="D15" s="11">
        <f>+(D16+D17)</f>
        <v>0</v>
      </c>
      <c r="E15" s="11">
        <f>+(E16+E17)</f>
        <v>0</v>
      </c>
      <c r="F15" s="11">
        <f>+(F16+F17)</f>
        <v>0</v>
      </c>
      <c r="G15" s="11">
        <v>8400</v>
      </c>
      <c r="H15" s="11">
        <v>0</v>
      </c>
      <c r="I15" s="8"/>
      <c r="J15" s="3"/>
    </row>
    <row r="16" spans="1:10" ht="15">
      <c r="A16" s="5" t="s">
        <v>11</v>
      </c>
      <c r="B16" s="6" t="s">
        <v>24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8"/>
      <c r="J16" s="3"/>
    </row>
    <row r="17" spans="1:10" ht="15">
      <c r="A17" s="5" t="s">
        <v>13</v>
      </c>
      <c r="B17" s="6" t="s">
        <v>25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8"/>
      <c r="J17" s="3"/>
    </row>
    <row r="18" spans="1:10" ht="15">
      <c r="A18" s="5" t="s">
        <v>9</v>
      </c>
      <c r="B18" s="6" t="s">
        <v>26</v>
      </c>
      <c r="C18" s="11">
        <v>290321</v>
      </c>
      <c r="D18" s="11">
        <v>329460</v>
      </c>
      <c r="E18" s="11">
        <v>765539</v>
      </c>
      <c r="F18" s="11">
        <v>888684</v>
      </c>
      <c r="G18" s="11">
        <v>956811</v>
      </c>
      <c r="H18" s="11">
        <v>2083474</v>
      </c>
      <c r="I18" s="12"/>
      <c r="J18" s="3"/>
    </row>
    <row r="19" spans="1:10" ht="15">
      <c r="A19" s="5" t="s">
        <v>15</v>
      </c>
      <c r="B19" s="6" t="s">
        <v>27</v>
      </c>
      <c r="C19" s="11">
        <v>422492</v>
      </c>
      <c r="D19" s="11">
        <v>1878</v>
      </c>
      <c r="E19" s="11">
        <v>76898</v>
      </c>
      <c r="F19" s="11">
        <v>10709</v>
      </c>
      <c r="G19" s="11">
        <v>77424</v>
      </c>
      <c r="H19" s="11">
        <v>127943</v>
      </c>
      <c r="I19" s="16"/>
      <c r="J19" s="3"/>
    </row>
    <row r="20" spans="1:10" ht="15">
      <c r="A20" s="27" t="s">
        <v>28</v>
      </c>
      <c r="B20" s="26" t="s">
        <v>29</v>
      </c>
      <c r="C20" s="31">
        <v>29876</v>
      </c>
      <c r="D20" s="31">
        <v>28284</v>
      </c>
      <c r="E20" s="31">
        <v>44376</v>
      </c>
      <c r="F20" s="31">
        <v>51561</v>
      </c>
      <c r="G20" s="31">
        <v>398828</v>
      </c>
      <c r="H20" s="31">
        <v>39753</v>
      </c>
      <c r="I20" s="14"/>
      <c r="J20" s="3"/>
    </row>
    <row r="21" spans="1:10" ht="15">
      <c r="A21" s="5"/>
      <c r="B21" s="6" t="s">
        <v>30</v>
      </c>
      <c r="C21" s="11">
        <v>1053202</v>
      </c>
      <c r="D21" s="11">
        <v>1122058</v>
      </c>
      <c r="E21" s="11">
        <v>2703352</v>
      </c>
      <c r="F21" s="11">
        <v>2955790</v>
      </c>
      <c r="G21" s="11">
        <v>2353760</v>
      </c>
      <c r="H21" s="11">
        <v>1763745</v>
      </c>
      <c r="I21" s="17"/>
      <c r="J21" s="3"/>
    </row>
    <row r="22" spans="1:10" ht="15">
      <c r="A22" s="5"/>
      <c r="B22" s="6"/>
      <c r="C22" s="11"/>
      <c r="D22" s="11"/>
      <c r="E22" s="11"/>
      <c r="F22" s="11"/>
      <c r="G22" s="11"/>
      <c r="H22" s="11"/>
      <c r="I22" s="17"/>
      <c r="J22" s="3"/>
    </row>
    <row r="23" spans="1:10" ht="15">
      <c r="A23" s="5"/>
      <c r="B23" s="6"/>
      <c r="C23" s="11"/>
      <c r="D23" s="11"/>
      <c r="E23" s="11"/>
      <c r="F23" s="11"/>
      <c r="G23" s="11"/>
      <c r="H23" s="11"/>
      <c r="I23" s="17"/>
      <c r="J23" s="3"/>
    </row>
    <row r="24" spans="1:10" ht="15">
      <c r="A24" s="5"/>
      <c r="C24" s="26">
        <v>2007</v>
      </c>
      <c r="D24" s="27">
        <v>2008</v>
      </c>
      <c r="E24" s="28">
        <v>2009</v>
      </c>
      <c r="F24" s="28">
        <v>2010</v>
      </c>
      <c r="G24" s="28">
        <v>2011</v>
      </c>
      <c r="H24" s="29">
        <v>2012</v>
      </c>
      <c r="I24" s="7"/>
      <c r="J24" s="3"/>
    </row>
    <row r="25" spans="1:10" ht="15.75">
      <c r="A25" s="32"/>
      <c r="B25" s="33" t="s">
        <v>31</v>
      </c>
      <c r="C25" s="34">
        <f aca="true" t="shared" si="4" ref="C25:H25">+(C26+C35+C38+C42+C46)</f>
        <v>5138420</v>
      </c>
      <c r="D25" s="34">
        <f t="shared" si="4"/>
        <v>6215073</v>
      </c>
      <c r="E25" s="34">
        <f t="shared" si="4"/>
        <v>7480076</v>
      </c>
      <c r="F25" s="34">
        <f t="shared" si="4"/>
        <v>7562777</v>
      </c>
      <c r="G25" s="34">
        <f t="shared" si="4"/>
        <v>8800068</v>
      </c>
      <c r="H25" s="34">
        <f t="shared" si="4"/>
        <v>10059203</v>
      </c>
      <c r="I25" s="7"/>
      <c r="J25" s="3"/>
    </row>
    <row r="26" spans="1:10" ht="15">
      <c r="A26" s="27" t="s">
        <v>1</v>
      </c>
      <c r="B26" s="26" t="s">
        <v>32</v>
      </c>
      <c r="C26" s="31">
        <f aca="true" t="shared" si="5" ref="C26:H26">+(C27+C30+C31+C32+C33+C34)</f>
        <v>838902</v>
      </c>
      <c r="D26" s="31">
        <f t="shared" si="5"/>
        <v>927255</v>
      </c>
      <c r="E26" s="31">
        <f t="shared" si="5"/>
        <v>1862375</v>
      </c>
      <c r="F26" s="31">
        <f t="shared" si="5"/>
        <v>2394028</v>
      </c>
      <c r="G26" s="31">
        <f t="shared" si="5"/>
        <v>3206594</v>
      </c>
      <c r="H26" s="31">
        <f t="shared" si="5"/>
        <v>4024801</v>
      </c>
      <c r="I26" s="12"/>
      <c r="J26" s="3"/>
    </row>
    <row r="27" spans="1:10" ht="15">
      <c r="A27" s="5" t="s">
        <v>3</v>
      </c>
      <c r="B27" s="6" t="s">
        <v>33</v>
      </c>
      <c r="C27" s="11">
        <f aca="true" t="shared" si="6" ref="C27:H27">+(C28+C29)</f>
        <v>62243</v>
      </c>
      <c r="D27" s="11">
        <f t="shared" si="6"/>
        <v>62243</v>
      </c>
      <c r="E27" s="11">
        <f t="shared" si="6"/>
        <v>62243</v>
      </c>
      <c r="F27" s="11">
        <f t="shared" si="6"/>
        <v>62243</v>
      </c>
      <c r="G27" s="11">
        <f t="shared" si="6"/>
        <v>62243</v>
      </c>
      <c r="H27" s="11">
        <f t="shared" si="6"/>
        <v>62243</v>
      </c>
      <c r="I27" s="15"/>
      <c r="J27" s="3"/>
    </row>
    <row r="28" spans="1:10" ht="15">
      <c r="A28" s="5" t="s">
        <v>11</v>
      </c>
      <c r="B28" s="6" t="s">
        <v>34</v>
      </c>
      <c r="C28" s="11">
        <v>62243</v>
      </c>
      <c r="D28" s="11">
        <v>62243</v>
      </c>
      <c r="E28" s="11">
        <v>62243</v>
      </c>
      <c r="F28" s="11">
        <v>62243</v>
      </c>
      <c r="G28" s="11">
        <v>62243</v>
      </c>
      <c r="H28" s="11">
        <v>62243</v>
      </c>
      <c r="I28" s="15"/>
      <c r="J28" s="3"/>
    </row>
    <row r="29" spans="1:10" ht="15">
      <c r="A29" s="5" t="s">
        <v>13</v>
      </c>
      <c r="B29" s="6" t="s">
        <v>35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7"/>
      <c r="J29" s="3"/>
    </row>
    <row r="30" spans="1:10" ht="15">
      <c r="A30" s="5" t="s">
        <v>5</v>
      </c>
      <c r="B30" s="6" t="s">
        <v>36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7"/>
      <c r="J30" s="3"/>
    </row>
    <row r="31" spans="1:10" ht="15">
      <c r="A31" s="5" t="s">
        <v>7</v>
      </c>
      <c r="B31" s="6" t="s">
        <v>37</v>
      </c>
      <c r="C31" s="11">
        <v>11131</v>
      </c>
      <c r="D31" s="11">
        <v>11131</v>
      </c>
      <c r="E31" s="11">
        <v>11131</v>
      </c>
      <c r="F31" s="11">
        <v>11131</v>
      </c>
      <c r="G31" s="11">
        <v>11131</v>
      </c>
      <c r="H31" s="11">
        <v>11131</v>
      </c>
      <c r="I31" s="15"/>
      <c r="J31" s="3"/>
    </row>
    <row r="32" spans="1:10" ht="15">
      <c r="A32" s="5" t="s">
        <v>9</v>
      </c>
      <c r="B32" s="6" t="s">
        <v>38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7"/>
      <c r="J32" s="3"/>
    </row>
    <row r="33" spans="1:10" ht="15">
      <c r="A33" s="5" t="s">
        <v>15</v>
      </c>
      <c r="B33" s="6" t="s">
        <v>39</v>
      </c>
      <c r="C33" s="11">
        <v>527102</v>
      </c>
      <c r="D33" s="11">
        <v>765527</v>
      </c>
      <c r="E33" s="11">
        <v>853881</v>
      </c>
      <c r="F33" s="11">
        <v>1789002</v>
      </c>
      <c r="G33" s="11">
        <v>2320654</v>
      </c>
      <c r="H33" s="11">
        <v>3133220</v>
      </c>
      <c r="I33" s="17"/>
      <c r="J33" s="3"/>
    </row>
    <row r="34" spans="1:10" ht="15">
      <c r="A34" s="5" t="s">
        <v>17</v>
      </c>
      <c r="B34" s="6" t="s">
        <v>109</v>
      </c>
      <c r="C34" s="11">
        <v>238426</v>
      </c>
      <c r="D34" s="11">
        <v>88354</v>
      </c>
      <c r="E34" s="11">
        <v>935120</v>
      </c>
      <c r="F34" s="11">
        <v>531652</v>
      </c>
      <c r="G34" s="11">
        <v>812566</v>
      </c>
      <c r="H34" s="11">
        <v>818207</v>
      </c>
      <c r="I34" s="16"/>
      <c r="J34" s="3"/>
    </row>
    <row r="35" spans="1:10" ht="15">
      <c r="A35" s="27" t="s">
        <v>19</v>
      </c>
      <c r="B35" s="26" t="s">
        <v>40</v>
      </c>
      <c r="C35" s="31">
        <f>+(C36+C37)</f>
        <v>375563</v>
      </c>
      <c r="D35" s="31">
        <f>+(D36+D37)</f>
        <v>375563</v>
      </c>
      <c r="E35" s="31">
        <v>714634</v>
      </c>
      <c r="F35" s="31">
        <v>900398</v>
      </c>
      <c r="G35" s="31">
        <v>1056010</v>
      </c>
      <c r="H35" s="31">
        <v>835473</v>
      </c>
      <c r="I35" s="14"/>
      <c r="J35" s="3"/>
    </row>
    <row r="36" spans="1:10" ht="15">
      <c r="A36" s="5" t="s">
        <v>11</v>
      </c>
      <c r="B36" s="6" t="s">
        <v>41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7"/>
      <c r="J36" s="3"/>
    </row>
    <row r="37" spans="1:10" ht="15">
      <c r="A37" s="5" t="s">
        <v>13</v>
      </c>
      <c r="B37" s="6" t="s">
        <v>42</v>
      </c>
      <c r="C37" s="11">
        <v>375563</v>
      </c>
      <c r="D37" s="11">
        <v>375563</v>
      </c>
      <c r="E37" s="11">
        <v>714634</v>
      </c>
      <c r="F37" s="11">
        <v>900398</v>
      </c>
      <c r="G37" s="11">
        <v>1056010</v>
      </c>
      <c r="H37" s="11">
        <v>835473</v>
      </c>
      <c r="I37" s="15"/>
      <c r="J37" s="3"/>
    </row>
    <row r="38" spans="1:10" ht="15">
      <c r="A38" s="27" t="s">
        <v>28</v>
      </c>
      <c r="B38" s="26" t="s">
        <v>43</v>
      </c>
      <c r="C38" s="31">
        <f aca="true" t="shared" si="7" ref="C38:H38">+(C39+C40+C41)</f>
        <v>1713018</v>
      </c>
      <c r="D38" s="31">
        <f t="shared" si="7"/>
        <v>2168087</v>
      </c>
      <c r="E38" s="31">
        <f t="shared" si="7"/>
        <v>2195701</v>
      </c>
      <c r="F38" s="31">
        <f t="shared" si="7"/>
        <v>1882473</v>
      </c>
      <c r="G38" s="31">
        <f t="shared" si="7"/>
        <v>2077560</v>
      </c>
      <c r="H38" s="31">
        <f t="shared" si="7"/>
        <v>1788569</v>
      </c>
      <c r="I38" s="12"/>
      <c r="J38" s="3"/>
    </row>
    <row r="39" spans="1:10" ht="15">
      <c r="A39" s="5" t="s">
        <v>3</v>
      </c>
      <c r="B39" s="6" t="s">
        <v>44</v>
      </c>
      <c r="C39" s="11">
        <v>1178013</v>
      </c>
      <c r="D39" s="11">
        <v>1161426</v>
      </c>
      <c r="E39" s="11">
        <v>2195701</v>
      </c>
      <c r="F39" s="11">
        <v>1882473</v>
      </c>
      <c r="G39" s="11">
        <v>2077560</v>
      </c>
      <c r="H39" s="11">
        <v>1788569</v>
      </c>
      <c r="I39" s="12"/>
      <c r="J39" s="3"/>
    </row>
    <row r="40" spans="1:10" ht="15">
      <c r="A40" s="5" t="s">
        <v>5</v>
      </c>
      <c r="B40" s="6" t="s">
        <v>45</v>
      </c>
      <c r="C40" s="11">
        <v>535005</v>
      </c>
      <c r="D40" s="11">
        <v>1006661</v>
      </c>
      <c r="E40" s="11">
        <v>0</v>
      </c>
      <c r="F40" s="11">
        <v>0</v>
      </c>
      <c r="G40" s="11">
        <v>0</v>
      </c>
      <c r="H40" s="11">
        <v>0</v>
      </c>
      <c r="I40" s="7"/>
      <c r="J40" s="3"/>
    </row>
    <row r="41" spans="1:10" ht="15">
      <c r="A41" s="5" t="s">
        <v>7</v>
      </c>
      <c r="B41" s="6" t="s">
        <v>46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7"/>
      <c r="J41" s="3"/>
    </row>
    <row r="42" spans="1:10" ht="15">
      <c r="A42" s="27" t="s">
        <v>47</v>
      </c>
      <c r="B42" s="26" t="s">
        <v>48</v>
      </c>
      <c r="C42" s="31">
        <f aca="true" t="shared" si="8" ref="C42:H42">+(C43+C44+C45)</f>
        <v>2202797</v>
      </c>
      <c r="D42" s="31">
        <f t="shared" si="8"/>
        <v>2744168</v>
      </c>
      <c r="E42" s="31">
        <f t="shared" si="8"/>
        <v>2707366</v>
      </c>
      <c r="F42" s="31">
        <f t="shared" si="8"/>
        <v>2358820</v>
      </c>
      <c r="G42" s="31">
        <f t="shared" si="8"/>
        <v>2425070</v>
      </c>
      <c r="H42" s="31">
        <f t="shared" si="8"/>
        <v>3410360</v>
      </c>
      <c r="I42" s="12"/>
      <c r="J42" s="3"/>
    </row>
    <row r="43" spans="1:10" ht="15">
      <c r="A43" s="5" t="s">
        <v>3</v>
      </c>
      <c r="B43" s="6" t="s">
        <v>49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7"/>
      <c r="J43" s="3"/>
    </row>
    <row r="44" spans="1:10" ht="15">
      <c r="A44" s="5" t="s">
        <v>5</v>
      </c>
      <c r="B44" s="6" t="s">
        <v>50</v>
      </c>
      <c r="C44" s="11">
        <v>60000</v>
      </c>
      <c r="D44" s="11">
        <v>270000</v>
      </c>
      <c r="E44" s="11">
        <v>335000</v>
      </c>
      <c r="F44" s="11">
        <v>808286</v>
      </c>
      <c r="G44" s="11">
        <v>461044</v>
      </c>
      <c r="H44" s="11">
        <v>518973</v>
      </c>
      <c r="I44" s="15"/>
      <c r="J44" s="3"/>
    </row>
    <row r="45" spans="1:10" ht="15">
      <c r="A45" s="5" t="s">
        <v>7</v>
      </c>
      <c r="B45" s="6" t="s">
        <v>51</v>
      </c>
      <c r="C45" s="11">
        <v>2142797</v>
      </c>
      <c r="D45" s="11">
        <v>2474168</v>
      </c>
      <c r="E45" s="11">
        <v>2372366</v>
      </c>
      <c r="F45" s="11">
        <v>1550534</v>
      </c>
      <c r="G45" s="11">
        <v>1964026</v>
      </c>
      <c r="H45" s="11">
        <v>2891387</v>
      </c>
      <c r="I45" s="12"/>
      <c r="J45" s="3"/>
    </row>
    <row r="46" spans="1:10" ht="15">
      <c r="A46" s="27" t="s">
        <v>52</v>
      </c>
      <c r="B46" s="26" t="s">
        <v>53</v>
      </c>
      <c r="C46" s="31">
        <v>8140</v>
      </c>
      <c r="D46" s="31">
        <v>0</v>
      </c>
      <c r="E46" s="31">
        <v>0</v>
      </c>
      <c r="F46" s="31">
        <v>27058</v>
      </c>
      <c r="G46" s="31">
        <v>34834</v>
      </c>
      <c r="H46" s="31">
        <v>0</v>
      </c>
      <c r="I46" s="7"/>
      <c r="J46" s="3"/>
    </row>
    <row r="47" spans="1:10" ht="15">
      <c r="A47" s="5"/>
      <c r="B47" s="6" t="s">
        <v>54</v>
      </c>
      <c r="C47" s="11">
        <v>1053202</v>
      </c>
      <c r="D47" s="11">
        <v>1122058</v>
      </c>
      <c r="E47" s="11">
        <v>2703352</v>
      </c>
      <c r="F47" s="11">
        <v>2955790</v>
      </c>
      <c r="G47" s="11">
        <v>2353760</v>
      </c>
      <c r="H47" s="11">
        <v>1763745</v>
      </c>
      <c r="I47" s="12"/>
      <c r="J47" s="3"/>
    </row>
    <row r="48" spans="1:10" ht="15">
      <c r="A48" s="5"/>
      <c r="B48" s="6"/>
      <c r="C48" s="11"/>
      <c r="D48" s="18"/>
      <c r="E48" s="18"/>
      <c r="F48" s="18"/>
      <c r="G48" s="18"/>
      <c r="H48" s="18"/>
      <c r="I48" s="7"/>
      <c r="J48" s="3"/>
    </row>
    <row r="49" spans="1:10" ht="15">
      <c r="A49" s="5"/>
      <c r="B49" s="6"/>
      <c r="C49" s="11"/>
      <c r="D49" s="18"/>
      <c r="E49" s="18"/>
      <c r="F49" s="18"/>
      <c r="G49" s="18"/>
      <c r="H49" s="18"/>
      <c r="I49" s="7"/>
      <c r="J49" s="3"/>
    </row>
    <row r="50" spans="1:10" ht="15">
      <c r="A50" s="5"/>
      <c r="B50" s="19"/>
      <c r="C50" s="30">
        <v>2007</v>
      </c>
      <c r="D50" s="30">
        <v>2008</v>
      </c>
      <c r="E50" s="30">
        <v>2009</v>
      </c>
      <c r="F50" s="30">
        <v>2010</v>
      </c>
      <c r="G50" s="30">
        <v>2011</v>
      </c>
      <c r="H50" s="30">
        <v>2012</v>
      </c>
      <c r="I50" s="9"/>
      <c r="J50" s="3"/>
    </row>
    <row r="51" spans="1:10" ht="15">
      <c r="A51" s="32"/>
      <c r="B51" s="35" t="s">
        <v>55</v>
      </c>
      <c r="C51" s="36">
        <f aca="true" t="shared" si="9" ref="C51:H51">+(C52+C53+C54+C55)</f>
        <v>3819034</v>
      </c>
      <c r="D51" s="36">
        <f t="shared" si="9"/>
        <v>5212712</v>
      </c>
      <c r="E51" s="36">
        <f t="shared" si="9"/>
        <v>7359682</v>
      </c>
      <c r="F51" s="36">
        <f t="shared" si="9"/>
        <v>7926194</v>
      </c>
      <c r="G51" s="36">
        <f t="shared" si="9"/>
        <v>9155509</v>
      </c>
      <c r="H51" s="36">
        <f t="shared" si="9"/>
        <v>10564300</v>
      </c>
      <c r="I51" s="7"/>
      <c r="J51" s="44"/>
    </row>
    <row r="52" spans="1:10" ht="15">
      <c r="A52" s="27" t="s">
        <v>1</v>
      </c>
      <c r="B52" s="26" t="s">
        <v>56</v>
      </c>
      <c r="C52" s="31">
        <v>3446589</v>
      </c>
      <c r="D52" s="31">
        <v>4507665</v>
      </c>
      <c r="E52" s="31">
        <v>6684536</v>
      </c>
      <c r="F52" s="31">
        <v>7187603</v>
      </c>
      <c r="G52" s="31">
        <v>7722775</v>
      </c>
      <c r="H52" s="31">
        <v>9190835</v>
      </c>
      <c r="I52" s="20"/>
      <c r="J52" s="45"/>
    </row>
    <row r="53" spans="1:10" ht="30">
      <c r="A53" s="27" t="s">
        <v>19</v>
      </c>
      <c r="B53" s="26" t="s">
        <v>57</v>
      </c>
      <c r="C53" s="31">
        <v>-31748</v>
      </c>
      <c r="D53" s="31">
        <v>443728</v>
      </c>
      <c r="E53" s="31">
        <v>-85262</v>
      </c>
      <c r="F53" s="31">
        <v>-28729</v>
      </c>
      <c r="G53" s="31">
        <v>207854</v>
      </c>
      <c r="H53" s="31">
        <v>299043</v>
      </c>
      <c r="I53" s="20"/>
      <c r="J53" s="44"/>
    </row>
    <row r="54" spans="1:10" ht="15">
      <c r="A54" s="27" t="s">
        <v>28</v>
      </c>
      <c r="B54" s="26" t="s">
        <v>58</v>
      </c>
      <c r="C54" s="31">
        <v>9766</v>
      </c>
      <c r="D54" s="31">
        <v>3566</v>
      </c>
      <c r="E54" s="31">
        <v>16888</v>
      </c>
      <c r="F54" s="31">
        <v>7104</v>
      </c>
      <c r="G54" s="31">
        <v>523245</v>
      </c>
      <c r="H54" s="31">
        <v>534606</v>
      </c>
      <c r="I54" s="20"/>
      <c r="J54" s="3"/>
    </row>
    <row r="55" spans="1:10" ht="30">
      <c r="A55" s="27" t="s">
        <v>47</v>
      </c>
      <c r="B55" s="26" t="s">
        <v>59</v>
      </c>
      <c r="C55" s="31">
        <v>394427</v>
      </c>
      <c r="D55" s="31">
        <v>257753</v>
      </c>
      <c r="E55" s="31">
        <v>743520</v>
      </c>
      <c r="F55" s="31">
        <v>760216</v>
      </c>
      <c r="G55" s="31">
        <v>701635</v>
      </c>
      <c r="H55" s="31">
        <v>539816</v>
      </c>
      <c r="I55" s="21"/>
      <c r="J55" s="3"/>
    </row>
    <row r="56" spans="1:10" ht="15">
      <c r="A56" s="27" t="s">
        <v>52</v>
      </c>
      <c r="B56" s="26" t="s">
        <v>60</v>
      </c>
      <c r="C56" s="31">
        <f aca="true" t="shared" si="10" ref="C56:H56">+(C57+C60+C65+C69)</f>
        <v>3523830</v>
      </c>
      <c r="D56" s="31">
        <f t="shared" si="10"/>
        <v>5023745</v>
      </c>
      <c r="E56" s="31">
        <f t="shared" si="10"/>
        <v>6198508</v>
      </c>
      <c r="F56" s="31">
        <f t="shared" si="10"/>
        <v>7069624</v>
      </c>
      <c r="G56" s="31">
        <f t="shared" si="10"/>
        <v>8079206</v>
      </c>
      <c r="H56" s="31">
        <f t="shared" si="10"/>
        <v>9568281</v>
      </c>
      <c r="I56" s="7"/>
      <c r="J56" s="3"/>
    </row>
    <row r="57" spans="1:10" ht="15">
      <c r="A57" s="5" t="s">
        <v>3</v>
      </c>
      <c r="B57" s="6" t="s">
        <v>61</v>
      </c>
      <c r="C57" s="11">
        <f aca="true" t="shared" si="11" ref="C57:H57">+(C58+C59)</f>
        <v>2391868</v>
      </c>
      <c r="D57" s="11">
        <f t="shared" si="11"/>
        <v>3560141</v>
      </c>
      <c r="E57" s="11">
        <f t="shared" si="11"/>
        <v>4268922</v>
      </c>
      <c r="F57" s="11">
        <f t="shared" si="11"/>
        <v>4877296</v>
      </c>
      <c r="G57" s="11">
        <f t="shared" si="11"/>
        <v>5426709</v>
      </c>
      <c r="H57" s="11">
        <f t="shared" si="11"/>
        <v>6565712</v>
      </c>
      <c r="I57" s="21"/>
      <c r="J57" s="3"/>
    </row>
    <row r="58" spans="1:10" ht="30">
      <c r="A58" s="5" t="s">
        <v>11</v>
      </c>
      <c r="B58" s="6" t="s">
        <v>62</v>
      </c>
      <c r="C58" s="11">
        <v>1739251</v>
      </c>
      <c r="D58" s="11">
        <v>3012978</v>
      </c>
      <c r="E58" s="11">
        <v>3331644</v>
      </c>
      <c r="F58" s="11">
        <v>3874402</v>
      </c>
      <c r="G58" s="11">
        <v>3962593</v>
      </c>
      <c r="H58" s="11">
        <v>5091099</v>
      </c>
      <c r="I58" s="21"/>
      <c r="J58" s="3"/>
    </row>
    <row r="59" spans="1:10" ht="15">
      <c r="A59" s="5" t="s">
        <v>13</v>
      </c>
      <c r="B59" s="6" t="s">
        <v>63</v>
      </c>
      <c r="C59" s="11">
        <v>652617</v>
      </c>
      <c r="D59" s="11">
        <v>547163</v>
      </c>
      <c r="E59" s="11">
        <v>937278</v>
      </c>
      <c r="F59" s="11">
        <v>1002894</v>
      </c>
      <c r="G59" s="11">
        <v>1464116</v>
      </c>
      <c r="H59" s="11">
        <v>1474613</v>
      </c>
      <c r="I59" s="22"/>
      <c r="J59" s="3"/>
    </row>
    <row r="60" spans="1:10" ht="15">
      <c r="A60" s="5" t="s">
        <v>5</v>
      </c>
      <c r="B60" s="6" t="s">
        <v>64</v>
      </c>
      <c r="C60" s="11">
        <f aca="true" t="shared" si="12" ref="C60:H60">+(C61+C62+C63+C64)</f>
        <v>731815</v>
      </c>
      <c r="D60" s="11">
        <f t="shared" si="12"/>
        <v>1067813</v>
      </c>
      <c r="E60" s="11">
        <f t="shared" si="12"/>
        <v>1490493</v>
      </c>
      <c r="F60" s="11">
        <f t="shared" si="12"/>
        <v>1553072</v>
      </c>
      <c r="G60" s="11">
        <f t="shared" si="12"/>
        <v>1848564</v>
      </c>
      <c r="H60" s="11">
        <f t="shared" si="12"/>
        <v>2160073</v>
      </c>
      <c r="I60" s="22"/>
      <c r="J60" s="3"/>
    </row>
    <row r="61" spans="1:10" ht="15">
      <c r="A61" s="5" t="s">
        <v>11</v>
      </c>
      <c r="B61" s="6" t="s">
        <v>65</v>
      </c>
      <c r="C61" s="11">
        <v>553407</v>
      </c>
      <c r="D61" s="11">
        <v>808619</v>
      </c>
      <c r="E61" s="11">
        <v>1162645</v>
      </c>
      <c r="F61" s="11">
        <v>1185629</v>
      </c>
      <c r="G61" s="11">
        <v>1413091</v>
      </c>
      <c r="H61" s="11">
        <v>1643124</v>
      </c>
      <c r="I61" s="22"/>
      <c r="J61" s="3"/>
    </row>
    <row r="62" spans="1:10" ht="15">
      <c r="A62" s="5" t="s">
        <v>13</v>
      </c>
      <c r="B62" s="6" t="s">
        <v>66</v>
      </c>
      <c r="C62" s="11">
        <v>48986</v>
      </c>
      <c r="D62" s="11">
        <v>71563</v>
      </c>
      <c r="E62" s="11">
        <v>100975</v>
      </c>
      <c r="F62" s="11">
        <v>104601</v>
      </c>
      <c r="G62" s="11">
        <v>124703</v>
      </c>
      <c r="H62" s="11">
        <v>146372</v>
      </c>
      <c r="I62" s="22"/>
      <c r="J62" s="3"/>
    </row>
    <row r="63" spans="1:10" ht="15">
      <c r="A63" s="5" t="s">
        <v>67</v>
      </c>
      <c r="B63" s="6" t="s">
        <v>68</v>
      </c>
      <c r="C63" s="11">
        <v>41653</v>
      </c>
      <c r="D63" s="11">
        <v>63425</v>
      </c>
      <c r="E63" s="11">
        <v>90195</v>
      </c>
      <c r="F63" s="11">
        <v>101742</v>
      </c>
      <c r="G63" s="11">
        <v>123397</v>
      </c>
      <c r="H63" s="11">
        <v>147385</v>
      </c>
      <c r="I63" s="22"/>
      <c r="J63" s="3"/>
    </row>
    <row r="64" spans="1:10" ht="15">
      <c r="A64" s="5" t="s">
        <v>69</v>
      </c>
      <c r="B64" s="6" t="s">
        <v>70</v>
      </c>
      <c r="C64" s="11">
        <v>87769</v>
      </c>
      <c r="D64" s="11">
        <v>124206</v>
      </c>
      <c r="E64" s="11">
        <v>136678</v>
      </c>
      <c r="F64" s="11">
        <v>161100</v>
      </c>
      <c r="G64" s="11">
        <v>187373</v>
      </c>
      <c r="H64" s="11">
        <v>223192</v>
      </c>
      <c r="I64" s="21"/>
      <c r="J64" s="3"/>
    </row>
    <row r="65" spans="1:10" ht="15">
      <c r="A65" s="5" t="s">
        <v>7</v>
      </c>
      <c r="B65" s="6" t="s">
        <v>71</v>
      </c>
      <c r="C65" s="11">
        <f aca="true" t="shared" si="13" ref="C65:H65">+(C66+C67+C68)</f>
        <v>134112</v>
      </c>
      <c r="D65" s="11">
        <f t="shared" si="13"/>
        <v>234015</v>
      </c>
      <c r="E65" s="11">
        <f t="shared" si="13"/>
        <v>423246</v>
      </c>
      <c r="F65" s="11">
        <f t="shared" si="13"/>
        <v>624752</v>
      </c>
      <c r="G65" s="11">
        <f t="shared" si="13"/>
        <v>783734</v>
      </c>
      <c r="H65" s="11">
        <f t="shared" si="13"/>
        <v>832066</v>
      </c>
      <c r="I65" s="21"/>
      <c r="J65" s="3"/>
    </row>
    <row r="66" spans="1:10" ht="15">
      <c r="A66" s="5" t="s">
        <v>11</v>
      </c>
      <c r="B66" s="6" t="s">
        <v>72</v>
      </c>
      <c r="C66" s="11">
        <v>124112</v>
      </c>
      <c r="D66" s="11">
        <v>205963</v>
      </c>
      <c r="E66" s="11">
        <v>366468</v>
      </c>
      <c r="F66" s="11">
        <v>604347</v>
      </c>
      <c r="G66" s="11">
        <v>771797</v>
      </c>
      <c r="H66" s="11">
        <v>832066</v>
      </c>
      <c r="I66" s="21"/>
      <c r="J66" s="3"/>
    </row>
    <row r="67" spans="1:10" ht="30">
      <c r="A67" s="5" t="s">
        <v>13</v>
      </c>
      <c r="B67" s="6" t="s">
        <v>108</v>
      </c>
      <c r="C67" s="11">
        <v>10000</v>
      </c>
      <c r="D67" s="11">
        <v>28000</v>
      </c>
      <c r="E67" s="11">
        <v>32053</v>
      </c>
      <c r="F67" s="11">
        <v>20405</v>
      </c>
      <c r="G67" s="11">
        <v>11937</v>
      </c>
      <c r="H67" s="11">
        <v>0</v>
      </c>
      <c r="I67" s="23"/>
      <c r="J67" s="3"/>
    </row>
    <row r="68" spans="1:10" ht="15">
      <c r="A68" s="5" t="s">
        <v>67</v>
      </c>
      <c r="B68" s="6" t="s">
        <v>73</v>
      </c>
      <c r="C68" s="11">
        <v>0</v>
      </c>
      <c r="D68" s="11">
        <v>52</v>
      </c>
      <c r="E68" s="11">
        <v>24725</v>
      </c>
      <c r="F68" s="11">
        <v>0</v>
      </c>
      <c r="G68" s="11">
        <v>0</v>
      </c>
      <c r="H68" s="11">
        <v>0</v>
      </c>
      <c r="I68" s="7"/>
      <c r="J68" s="3"/>
    </row>
    <row r="69" spans="1:10" ht="15">
      <c r="A69" s="5" t="s">
        <v>9</v>
      </c>
      <c r="B69" s="6" t="s">
        <v>74</v>
      </c>
      <c r="C69" s="11">
        <v>266035</v>
      </c>
      <c r="D69" s="11">
        <v>161776</v>
      </c>
      <c r="E69" s="11">
        <v>15847</v>
      </c>
      <c r="F69" s="11">
        <v>14504</v>
      </c>
      <c r="G69" s="11">
        <v>20199</v>
      </c>
      <c r="H69" s="11">
        <v>10430</v>
      </c>
      <c r="I69" s="16"/>
      <c r="J69" s="3"/>
    </row>
    <row r="70" spans="1:10" ht="15">
      <c r="A70" s="27" t="s">
        <v>75</v>
      </c>
      <c r="B70" s="26" t="s">
        <v>76</v>
      </c>
      <c r="C70" s="31">
        <f aca="true" t="shared" si="14" ref="C70:H70">+(C51-C56)</f>
        <v>295204</v>
      </c>
      <c r="D70" s="31">
        <f t="shared" si="14"/>
        <v>188967</v>
      </c>
      <c r="E70" s="31">
        <f t="shared" si="14"/>
        <v>1161174</v>
      </c>
      <c r="F70" s="31">
        <f t="shared" si="14"/>
        <v>856570</v>
      </c>
      <c r="G70" s="31">
        <f t="shared" si="14"/>
        <v>1076303</v>
      </c>
      <c r="H70" s="31">
        <f t="shared" si="14"/>
        <v>996019</v>
      </c>
      <c r="I70" s="7"/>
      <c r="J70" s="3"/>
    </row>
    <row r="71" spans="1:10" ht="15">
      <c r="A71" s="27" t="s">
        <v>77</v>
      </c>
      <c r="B71" s="26" t="s">
        <v>78</v>
      </c>
      <c r="C71" s="31">
        <f>+(C72+C73+C74)</f>
        <v>50668</v>
      </c>
      <c r="D71" s="31">
        <v>87339</v>
      </c>
      <c r="E71" s="31">
        <v>79241</v>
      </c>
      <c r="F71" s="31">
        <v>94008</v>
      </c>
      <c r="G71" s="31">
        <v>119627</v>
      </c>
      <c r="H71" s="31">
        <v>18435</v>
      </c>
      <c r="I71" s="16"/>
      <c r="J71" s="3"/>
    </row>
    <row r="72" spans="1:10" ht="15">
      <c r="A72" s="5" t="s">
        <v>11</v>
      </c>
      <c r="B72" s="6" t="s">
        <v>79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7"/>
      <c r="J72" s="3"/>
    </row>
    <row r="73" spans="1:10" ht="15">
      <c r="A73" s="5" t="s">
        <v>13</v>
      </c>
      <c r="B73" s="6" t="s">
        <v>80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7"/>
      <c r="J73" s="3"/>
    </row>
    <row r="74" spans="1:10" ht="15">
      <c r="A74" s="5" t="s">
        <v>67</v>
      </c>
      <c r="B74" s="6" t="s">
        <v>81</v>
      </c>
      <c r="C74" s="11">
        <v>50668</v>
      </c>
      <c r="D74" s="11">
        <v>87339</v>
      </c>
      <c r="E74" s="11">
        <v>79241</v>
      </c>
      <c r="F74" s="11">
        <v>94008</v>
      </c>
      <c r="G74" s="11">
        <v>119627</v>
      </c>
      <c r="H74" s="11">
        <v>18435</v>
      </c>
      <c r="I74" s="22"/>
      <c r="J74" s="3"/>
    </row>
    <row r="75" spans="1:10" ht="15">
      <c r="A75" s="27" t="s">
        <v>82</v>
      </c>
      <c r="B75" s="26" t="s">
        <v>83</v>
      </c>
      <c r="C75" s="31">
        <f aca="true" t="shared" si="15" ref="C75:H75">+(C76+C77+C78)</f>
        <v>90653</v>
      </c>
      <c r="D75" s="31">
        <f t="shared" si="15"/>
        <v>261865</v>
      </c>
      <c r="E75" s="31">
        <f t="shared" si="15"/>
        <v>159476</v>
      </c>
      <c r="F75" s="31">
        <f t="shared" si="15"/>
        <v>355613</v>
      </c>
      <c r="G75" s="31">
        <f t="shared" si="15"/>
        <v>278004</v>
      </c>
      <c r="H75" s="31">
        <f t="shared" si="15"/>
        <v>144201</v>
      </c>
      <c r="I75" s="7"/>
      <c r="J75" s="3"/>
    </row>
    <row r="76" spans="1:10" ht="15">
      <c r="A76" s="5" t="s">
        <v>11</v>
      </c>
      <c r="B76" s="6" t="s">
        <v>84</v>
      </c>
      <c r="C76" s="11">
        <v>0</v>
      </c>
      <c r="D76" s="11">
        <v>0</v>
      </c>
      <c r="E76" s="11">
        <v>0</v>
      </c>
      <c r="F76" s="11">
        <v>0</v>
      </c>
      <c r="G76" s="11">
        <v>600</v>
      </c>
      <c r="H76" s="11">
        <v>0</v>
      </c>
      <c r="I76" s="7"/>
      <c r="J76" s="3"/>
    </row>
    <row r="77" spans="1:10" ht="15">
      <c r="A77" s="5" t="s">
        <v>13</v>
      </c>
      <c r="B77" s="6" t="s">
        <v>85</v>
      </c>
      <c r="C77" s="11">
        <v>51739</v>
      </c>
      <c r="D77" s="11">
        <v>172103</v>
      </c>
      <c r="E77" s="11">
        <v>157998</v>
      </c>
      <c r="F77" s="11">
        <v>347940</v>
      </c>
      <c r="G77" s="11">
        <v>271463</v>
      </c>
      <c r="H77" s="11">
        <v>133390</v>
      </c>
      <c r="I77" s="24"/>
      <c r="J77" s="3"/>
    </row>
    <row r="78" spans="1:10" ht="15">
      <c r="A78" s="5" t="s">
        <v>67</v>
      </c>
      <c r="B78" s="6" t="s">
        <v>86</v>
      </c>
      <c r="C78" s="11">
        <v>38914</v>
      </c>
      <c r="D78" s="11">
        <v>89762</v>
      </c>
      <c r="E78" s="11">
        <v>1478</v>
      </c>
      <c r="F78" s="11">
        <v>7673</v>
      </c>
      <c r="G78" s="11">
        <v>5941</v>
      </c>
      <c r="H78" s="11">
        <v>10811</v>
      </c>
      <c r="I78" s="7"/>
      <c r="J78" s="3"/>
    </row>
    <row r="79" spans="1:10" ht="15">
      <c r="A79" s="27" t="s">
        <v>87</v>
      </c>
      <c r="B79" s="26" t="s">
        <v>88</v>
      </c>
      <c r="C79" s="31">
        <v>35628</v>
      </c>
      <c r="D79" s="31">
        <v>103028</v>
      </c>
      <c r="E79" s="31">
        <v>51833</v>
      </c>
      <c r="F79" s="31">
        <v>8352</v>
      </c>
      <c r="G79" s="31">
        <v>8810</v>
      </c>
      <c r="H79" s="31">
        <v>8154</v>
      </c>
      <c r="I79" s="16"/>
      <c r="J79" s="3"/>
    </row>
    <row r="80" spans="1:10" ht="15">
      <c r="A80" s="27" t="s">
        <v>3</v>
      </c>
      <c r="B80" s="26" t="s">
        <v>89</v>
      </c>
      <c r="C80" s="31">
        <v>109</v>
      </c>
      <c r="D80" s="31">
        <v>11</v>
      </c>
      <c r="E80" s="31">
        <v>308</v>
      </c>
      <c r="F80" s="31">
        <v>1838</v>
      </c>
      <c r="G80" s="31">
        <v>38</v>
      </c>
      <c r="H80" s="31">
        <v>746</v>
      </c>
      <c r="I80" s="24"/>
      <c r="J80" s="3"/>
    </row>
    <row r="81" spans="1:10" ht="15">
      <c r="A81" s="27" t="s">
        <v>90</v>
      </c>
      <c r="B81" s="26" t="s">
        <v>91</v>
      </c>
      <c r="C81" s="31">
        <f aca="true" t="shared" si="16" ref="C81:H81">+(C70+C71-C75+C79-C80)</f>
        <v>290738</v>
      </c>
      <c r="D81" s="31">
        <f t="shared" si="16"/>
        <v>117458</v>
      </c>
      <c r="E81" s="31">
        <f t="shared" si="16"/>
        <v>1132464</v>
      </c>
      <c r="F81" s="31">
        <f t="shared" si="16"/>
        <v>601479</v>
      </c>
      <c r="G81" s="31">
        <f t="shared" si="16"/>
        <v>926698</v>
      </c>
      <c r="H81" s="31">
        <f t="shared" si="16"/>
        <v>877661</v>
      </c>
      <c r="I81" s="7"/>
      <c r="J81" s="3"/>
    </row>
    <row r="82" spans="1:10" ht="15">
      <c r="A82" s="27" t="s">
        <v>92</v>
      </c>
      <c r="B82" s="26" t="s">
        <v>93</v>
      </c>
      <c r="C82" s="31">
        <v>52311</v>
      </c>
      <c r="D82" s="31">
        <v>29104</v>
      </c>
      <c r="E82" s="31">
        <v>197344</v>
      </c>
      <c r="F82" s="31">
        <v>69827</v>
      </c>
      <c r="G82" s="31">
        <v>114133</v>
      </c>
      <c r="H82" s="31">
        <v>59454</v>
      </c>
      <c r="I82" s="16"/>
      <c r="J82" s="3"/>
    </row>
    <row r="83" spans="1:10" ht="15">
      <c r="A83" s="27" t="s">
        <v>94</v>
      </c>
      <c r="B83" s="26" t="s">
        <v>95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7"/>
      <c r="J83" s="3"/>
    </row>
    <row r="84" spans="1:10" ht="30">
      <c r="A84" s="27" t="s">
        <v>96</v>
      </c>
      <c r="B84" s="26" t="s">
        <v>97</v>
      </c>
      <c r="C84" s="31">
        <f aca="true" t="shared" si="17" ref="C84:H84">+(C81-C82)</f>
        <v>238427</v>
      </c>
      <c r="D84" s="31">
        <f t="shared" si="17"/>
        <v>88354</v>
      </c>
      <c r="E84" s="31">
        <f t="shared" si="17"/>
        <v>935120</v>
      </c>
      <c r="F84" s="31">
        <f t="shared" si="17"/>
        <v>531652</v>
      </c>
      <c r="G84" s="31">
        <f t="shared" si="17"/>
        <v>812565</v>
      </c>
      <c r="H84" s="31">
        <f t="shared" si="17"/>
        <v>818207</v>
      </c>
      <c r="I84" s="16"/>
      <c r="J84" s="3"/>
    </row>
    <row r="85" spans="1:10" ht="15">
      <c r="A85" s="27" t="s">
        <v>98</v>
      </c>
      <c r="B85" s="26" t="s">
        <v>99</v>
      </c>
      <c r="C85" s="31">
        <v>527102</v>
      </c>
      <c r="D85" s="31">
        <f>+(C89)</f>
        <v>765529</v>
      </c>
      <c r="E85" s="31">
        <f>+(D89)</f>
        <v>853883</v>
      </c>
      <c r="F85" s="31">
        <f>+(E89)</f>
        <v>1789003</v>
      </c>
      <c r="G85" s="31">
        <f>+(F89)</f>
        <v>2320655</v>
      </c>
      <c r="H85" s="31">
        <f>+(G89)</f>
        <v>3133220</v>
      </c>
      <c r="I85" s="7"/>
      <c r="J85" s="3"/>
    </row>
    <row r="86" spans="1:10" ht="15">
      <c r="A86" s="27" t="s">
        <v>100</v>
      </c>
      <c r="B86" s="26" t="s">
        <v>101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7"/>
      <c r="J86" s="3"/>
    </row>
    <row r="87" spans="1:10" ht="15">
      <c r="A87" s="27" t="s">
        <v>102</v>
      </c>
      <c r="B87" s="26" t="s">
        <v>103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7"/>
      <c r="J87" s="3"/>
    </row>
    <row r="88" spans="1:10" ht="15">
      <c r="A88" s="27" t="s">
        <v>104</v>
      </c>
      <c r="B88" s="26" t="s">
        <v>105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7"/>
      <c r="J88" s="3"/>
    </row>
    <row r="89" spans="1:10" ht="15">
      <c r="A89" s="27" t="s">
        <v>106</v>
      </c>
      <c r="B89" s="26" t="s">
        <v>107</v>
      </c>
      <c r="C89" s="31">
        <f aca="true" t="shared" si="18" ref="C89:H89">+(C84+C85)</f>
        <v>765529</v>
      </c>
      <c r="D89" s="31">
        <f t="shared" si="18"/>
        <v>853883</v>
      </c>
      <c r="E89" s="31">
        <f t="shared" si="18"/>
        <v>1789003</v>
      </c>
      <c r="F89" s="31">
        <f t="shared" si="18"/>
        <v>2320655</v>
      </c>
      <c r="G89" s="31">
        <f t="shared" si="18"/>
        <v>3133220</v>
      </c>
      <c r="H89" s="31">
        <f t="shared" si="18"/>
        <v>3951427</v>
      </c>
      <c r="I89" s="7"/>
      <c r="J89" s="3"/>
    </row>
    <row r="90" spans="1:10" ht="15">
      <c r="A90" s="5"/>
      <c r="B90" s="6"/>
      <c r="C90" s="11"/>
      <c r="D90" s="18"/>
      <c r="E90" s="18"/>
      <c r="F90" s="18"/>
      <c r="G90" s="18"/>
      <c r="H90" s="25"/>
      <c r="I90" s="7"/>
      <c r="J90" s="3"/>
    </row>
    <row r="91" spans="1:10" ht="15">
      <c r="A91" s="5"/>
      <c r="B91" s="6"/>
      <c r="C91" s="11"/>
      <c r="D91" s="18"/>
      <c r="E91" s="5"/>
      <c r="F91" s="5"/>
      <c r="G91" s="5"/>
      <c r="H91" s="25"/>
      <c r="I91" s="8"/>
      <c r="J91" s="3"/>
    </row>
    <row r="92" spans="2:10" ht="15">
      <c r="B92" s="2"/>
      <c r="C92" s="4"/>
      <c r="D92" s="1"/>
      <c r="H92" s="3"/>
      <c r="I92" s="3"/>
      <c r="J92" s="3"/>
    </row>
    <row r="93" spans="2:4" ht="15">
      <c r="B93" s="2"/>
      <c r="C93" s="4"/>
      <c r="D93" s="1"/>
    </row>
    <row r="94" spans="2:4" ht="15">
      <c r="B94" s="2"/>
      <c r="C94" s="2"/>
      <c r="D94" s="1"/>
    </row>
    <row r="95" spans="2:4" ht="15">
      <c r="B95" s="2"/>
      <c r="C95" s="2"/>
      <c r="D95" s="1"/>
    </row>
    <row r="96" spans="2:4" ht="15">
      <c r="B96" s="2"/>
      <c r="C96" s="2"/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pane ySplit="1" topLeftCell="A5" activePane="bottomLeft" state="frozen"/>
      <selection pane="topLeft" activeCell="C1" sqref="C1"/>
      <selection pane="bottomLeft" activeCell="A1" sqref="A1:G21"/>
    </sheetView>
  </sheetViews>
  <sheetFormatPr defaultColWidth="9.140625" defaultRowHeight="15"/>
  <cols>
    <col min="1" max="1" width="5.00390625" style="0" customWidth="1"/>
    <col min="2" max="2" width="40.8515625" style="0" customWidth="1"/>
    <col min="3" max="3" width="5.57421875" style="0" customWidth="1"/>
    <col min="4" max="4" width="4.28125" style="0" customWidth="1"/>
    <col min="5" max="5" width="13.8515625" style="0" customWidth="1"/>
    <col min="6" max="8" width="15.140625" style="0" customWidth="1"/>
    <col min="9" max="9" width="5.421875" style="0" customWidth="1"/>
    <col min="10" max="12" width="11.7109375" style="0" customWidth="1"/>
    <col min="13" max="13" width="5.140625" style="0" customWidth="1"/>
    <col min="14" max="19" width="13.8515625" style="0" customWidth="1"/>
    <col min="20" max="20" width="12.00390625" style="0" customWidth="1"/>
    <col min="21" max="21" width="6.00390625" style="0" customWidth="1"/>
    <col min="22" max="24" width="13.8515625" style="0" customWidth="1"/>
    <col min="25" max="25" width="5.140625" style="0" customWidth="1"/>
    <col min="26" max="26" width="13.8515625" style="0" customWidth="1"/>
    <col min="27" max="28" width="12.8515625" style="0" customWidth="1"/>
  </cols>
  <sheetData>
    <row r="1" spans="3:28" ht="15">
      <c r="C1" s="40" t="s">
        <v>110</v>
      </c>
      <c r="D1" s="40" t="s">
        <v>111</v>
      </c>
      <c r="E1" s="26">
        <v>2007</v>
      </c>
      <c r="F1" s="41" t="s">
        <v>112</v>
      </c>
      <c r="G1" s="41" t="s">
        <v>113</v>
      </c>
      <c r="H1" s="43" t="s">
        <v>115</v>
      </c>
      <c r="I1" s="43"/>
      <c r="J1" s="27">
        <v>2008</v>
      </c>
      <c r="K1" s="41" t="s">
        <v>116</v>
      </c>
      <c r="L1" s="41" t="s">
        <v>117</v>
      </c>
      <c r="M1" s="27"/>
      <c r="N1" s="28">
        <v>2009</v>
      </c>
      <c r="O1" s="41" t="s">
        <v>118</v>
      </c>
      <c r="P1" s="41" t="s">
        <v>119</v>
      </c>
      <c r="Q1" s="28"/>
      <c r="R1" s="28">
        <v>2010</v>
      </c>
      <c r="S1" s="41" t="s">
        <v>120</v>
      </c>
      <c r="T1" s="41" t="s">
        <v>121</v>
      </c>
      <c r="U1" s="28"/>
      <c r="V1" s="28">
        <v>2011</v>
      </c>
      <c r="W1" s="41" t="s">
        <v>122</v>
      </c>
      <c r="X1" s="41" t="s">
        <v>123</v>
      </c>
      <c r="Y1" s="28"/>
      <c r="Z1" s="29">
        <v>2012</v>
      </c>
      <c r="AA1" s="41" t="s">
        <v>124</v>
      </c>
      <c r="AB1" s="41" t="s">
        <v>125</v>
      </c>
    </row>
    <row r="3" spans="1:26" ht="15">
      <c r="A3" s="37"/>
      <c r="B3" s="38" t="s">
        <v>55</v>
      </c>
      <c r="C3" s="38"/>
      <c r="D3" s="38"/>
      <c r="E3" s="34">
        <v>3819034</v>
      </c>
      <c r="F3" s="34"/>
      <c r="G3" s="34"/>
      <c r="H3" s="34">
        <f>+(E3*1.01)</f>
        <v>3857224.34</v>
      </c>
      <c r="I3" s="34"/>
      <c r="J3" s="34">
        <v>5212712</v>
      </c>
      <c r="K3" s="34"/>
      <c r="L3" s="34"/>
      <c r="M3" s="34"/>
      <c r="N3" s="34">
        <v>7359682</v>
      </c>
      <c r="O3" s="34"/>
      <c r="P3" s="34"/>
      <c r="Q3" s="34"/>
      <c r="R3" s="34">
        <v>7926194</v>
      </c>
      <c r="S3" s="34"/>
      <c r="T3" s="34"/>
      <c r="U3" s="34"/>
      <c r="V3" s="34">
        <v>9155509</v>
      </c>
      <c r="W3" s="34"/>
      <c r="X3" s="34"/>
      <c r="Y3" s="34"/>
      <c r="Z3" s="34">
        <v>10564300</v>
      </c>
    </row>
    <row r="4" spans="1:28" ht="15">
      <c r="A4" s="27" t="s">
        <v>52</v>
      </c>
      <c r="B4" s="26" t="s">
        <v>60</v>
      </c>
      <c r="C4" s="26"/>
      <c r="D4" s="26"/>
      <c r="E4" s="31">
        <f>+(E5+E8+E13+E17)</f>
        <v>3523830</v>
      </c>
      <c r="F4" s="31">
        <f>+(F5+F8+F13+F17)</f>
        <v>2466681</v>
      </c>
      <c r="G4" s="31">
        <f>+(G5+G8+G13+G17)</f>
        <v>1057149</v>
      </c>
      <c r="H4" s="31">
        <f>+(H5+H8+H13+H17)</f>
        <v>3534401.4900000007</v>
      </c>
      <c r="I4" s="31"/>
      <c r="J4" s="31">
        <f>+(J5+J8+J13+J17)</f>
        <v>5023745</v>
      </c>
      <c r="K4" s="31">
        <f>+(K5+K8+K13+K17)</f>
        <v>3516621.5000000005</v>
      </c>
      <c r="L4" s="31">
        <f>+(L5+L8+L13+L17)</f>
        <v>1507123.5000000002</v>
      </c>
      <c r="M4" s="31"/>
      <c r="N4" s="31">
        <f>+(N5+N8+N13+N17)</f>
        <v>6198508</v>
      </c>
      <c r="O4" s="31">
        <f>+(O5+O8+O13+O17)</f>
        <v>4338955.600000001</v>
      </c>
      <c r="P4" s="31">
        <f>+(P5+P8+P13+P17)</f>
        <v>1859552.4000000001</v>
      </c>
      <c r="Q4" s="31"/>
      <c r="R4" s="31">
        <f>+(R5+R8+R13+R17)</f>
        <v>7069624</v>
      </c>
      <c r="S4" s="31">
        <f>+(S5+S8+S13+S17)</f>
        <v>4948736.8</v>
      </c>
      <c r="T4" s="31">
        <f>+(T5+T8+T13+T17)</f>
        <v>2120887.2</v>
      </c>
      <c r="U4" s="31"/>
      <c r="V4" s="31">
        <f>+(V5+V8+V13+V17)</f>
        <v>8079206</v>
      </c>
      <c r="W4" s="31">
        <f>+(W5+W8+W13+W17)</f>
        <v>5655444.199999999</v>
      </c>
      <c r="X4" s="31">
        <f>+(X5+X8+X13+X17)</f>
        <v>2423761.8000000003</v>
      </c>
      <c r="Y4" s="31"/>
      <c r="Z4" s="31">
        <f>+(Z5+Z8+Z13+Z17)</f>
        <v>9568281</v>
      </c>
      <c r="AA4" s="31">
        <f>+(AA5+AA8+AA13+AA17)</f>
        <v>6697796.699999999</v>
      </c>
      <c r="AB4" s="31">
        <f>+(AB5+AB8+AB13+AB17)</f>
        <v>2870484.3</v>
      </c>
    </row>
    <row r="5" spans="1:28" ht="15">
      <c r="A5" s="5" t="s">
        <v>3</v>
      </c>
      <c r="B5" s="6" t="s">
        <v>61</v>
      </c>
      <c r="C5" s="6"/>
      <c r="D5" s="6"/>
      <c r="E5" s="11">
        <f>+(E6+E7)</f>
        <v>2391868</v>
      </c>
      <c r="F5" s="11">
        <f>+(F6+F7)</f>
        <v>1674307.6</v>
      </c>
      <c r="G5" s="11">
        <f>+(G6+G7)</f>
        <v>717560.4</v>
      </c>
      <c r="H5" s="11">
        <f>+(H6+H7)</f>
        <v>2399043.6040000003</v>
      </c>
      <c r="I5" s="11"/>
      <c r="J5" s="11">
        <f>+(J6+J7)</f>
        <v>3560141</v>
      </c>
      <c r="K5" s="11">
        <f>+(K6+K7)</f>
        <v>2492098.7</v>
      </c>
      <c r="L5" s="11">
        <f>+(L6+L7)</f>
        <v>1068042.3</v>
      </c>
      <c r="M5" s="11"/>
      <c r="N5" s="11">
        <f>+(N6+N7)</f>
        <v>4268922</v>
      </c>
      <c r="O5" s="11">
        <f>+(O6+O7)</f>
        <v>2988245.4</v>
      </c>
      <c r="P5" s="11">
        <f>+(P6+P7)</f>
        <v>1280676.6</v>
      </c>
      <c r="Q5" s="11"/>
      <c r="R5" s="11">
        <f>+(R6+R7)</f>
        <v>4877296</v>
      </c>
      <c r="S5" s="11">
        <f>+(S6+S7)</f>
        <v>3414107.2</v>
      </c>
      <c r="T5" s="11">
        <f>+(T6+T7)</f>
        <v>1463188.8</v>
      </c>
      <c r="U5" s="11"/>
      <c r="V5" s="11">
        <f>+(V6+V7)</f>
        <v>5426709</v>
      </c>
      <c r="W5" s="11">
        <f>+(W6+W7)</f>
        <v>3798696.3</v>
      </c>
      <c r="X5" s="11">
        <f>+(X6+X7)</f>
        <v>1628012.7</v>
      </c>
      <c r="Y5" s="11"/>
      <c r="Z5" s="11">
        <f>+(Z6+Z7)</f>
        <v>6565712</v>
      </c>
      <c r="AA5" s="11">
        <f>+(AA6+AA7)</f>
        <v>4595998.399999999</v>
      </c>
      <c r="AB5" s="11">
        <f>+(AB6+AB7)</f>
        <v>1969713.6</v>
      </c>
    </row>
    <row r="6" spans="1:28" ht="30">
      <c r="A6" s="5" t="s">
        <v>11</v>
      </c>
      <c r="B6" s="6" t="s">
        <v>62</v>
      </c>
      <c r="C6" s="6">
        <v>70</v>
      </c>
      <c r="D6" s="6">
        <f>+(100-C6)</f>
        <v>30</v>
      </c>
      <c r="E6" s="11">
        <v>1739251</v>
      </c>
      <c r="F6" s="11">
        <f>+(E6*$C6/100)</f>
        <v>1217475.7</v>
      </c>
      <c r="G6" s="11">
        <f>+(E6*$D6/100)</f>
        <v>521775.3</v>
      </c>
      <c r="H6" s="11">
        <f>+(G6*1.01+F6)</f>
        <v>1744468.753</v>
      </c>
      <c r="I6" s="11"/>
      <c r="J6" s="11">
        <v>3012978</v>
      </c>
      <c r="K6" s="11">
        <f>+(J6*$C6/100)</f>
        <v>2109084.6</v>
      </c>
      <c r="L6" s="11">
        <f>+(J6*$D6/100)</f>
        <v>903893.4</v>
      </c>
      <c r="M6" s="11"/>
      <c r="N6" s="11">
        <v>3331644</v>
      </c>
      <c r="O6" s="11">
        <f>+(N6*$C6/100)</f>
        <v>2332150.8</v>
      </c>
      <c r="P6" s="11">
        <f>+(N6*$D6/100)</f>
        <v>999493.2</v>
      </c>
      <c r="Q6" s="11"/>
      <c r="R6" s="11">
        <v>3874402</v>
      </c>
      <c r="S6" s="11">
        <f>+(R6*$C6/100)</f>
        <v>2712081.4</v>
      </c>
      <c r="T6" s="11">
        <f>+(R6*$D6/100)</f>
        <v>1162320.6</v>
      </c>
      <c r="U6" s="11"/>
      <c r="V6" s="11">
        <v>3962593</v>
      </c>
      <c r="W6" s="11">
        <f>+(V6*$C6/100)</f>
        <v>2773815.1</v>
      </c>
      <c r="X6" s="11">
        <f>+(V6*$D6/100)</f>
        <v>1188777.9</v>
      </c>
      <c r="Y6" s="11"/>
      <c r="Z6" s="11">
        <v>5091099</v>
      </c>
      <c r="AA6" s="11">
        <f>+(Z6*$C6/100)</f>
        <v>3563769.3</v>
      </c>
      <c r="AB6" s="11">
        <f>+(Z6*$D6/100)</f>
        <v>1527329.7</v>
      </c>
    </row>
    <row r="7" spans="1:28" ht="15">
      <c r="A7" s="5" t="s">
        <v>13</v>
      </c>
      <c r="B7" s="6" t="s">
        <v>63</v>
      </c>
      <c r="C7" s="6">
        <v>70</v>
      </c>
      <c r="D7" s="6">
        <f>+(100-C7)</f>
        <v>30</v>
      </c>
      <c r="E7" s="11">
        <v>652617</v>
      </c>
      <c r="F7" s="11">
        <f>+(E7*$C7/100)</f>
        <v>456831.9</v>
      </c>
      <c r="G7" s="11">
        <f>+(E7*$D7/100)</f>
        <v>195785.1</v>
      </c>
      <c r="H7" s="11">
        <f>+(G7*1.01+F7)</f>
        <v>654574.851</v>
      </c>
      <c r="I7" s="11"/>
      <c r="J7" s="11">
        <v>547163</v>
      </c>
      <c r="K7" s="11">
        <f>+(J7*$C7/100)</f>
        <v>383014.1</v>
      </c>
      <c r="L7" s="11">
        <f>+(J7*$D7/100)</f>
        <v>164148.9</v>
      </c>
      <c r="M7" s="11"/>
      <c r="N7" s="11">
        <v>937278</v>
      </c>
      <c r="O7" s="11">
        <f>+(N7*$C7/100)</f>
        <v>656094.6</v>
      </c>
      <c r="P7" s="11">
        <f>+(N7*$D7/100)</f>
        <v>281183.4</v>
      </c>
      <c r="Q7" s="11"/>
      <c r="R7" s="11">
        <v>1002894</v>
      </c>
      <c r="S7" s="11">
        <f>+(R7*$C7/100)</f>
        <v>702025.8</v>
      </c>
      <c r="T7" s="11">
        <f>+(R7*$D7/100)</f>
        <v>300868.2</v>
      </c>
      <c r="U7" s="11"/>
      <c r="V7" s="11">
        <v>1464116</v>
      </c>
      <c r="W7" s="11">
        <f>+(V7*$C7/100)</f>
        <v>1024881.2</v>
      </c>
      <c r="X7" s="11">
        <f>+(V7*$D7/100)</f>
        <v>439234.8</v>
      </c>
      <c r="Y7" s="11"/>
      <c r="Z7" s="11">
        <v>1474613</v>
      </c>
      <c r="AA7" s="11">
        <f>+(Z7*$C7/100)</f>
        <v>1032229.1</v>
      </c>
      <c r="AB7" s="11">
        <f>+(Z7*$D7/100)</f>
        <v>442383.9</v>
      </c>
    </row>
    <row r="8" spans="1:28" ht="15">
      <c r="A8" s="5" t="s">
        <v>5</v>
      </c>
      <c r="B8" s="6" t="s">
        <v>64</v>
      </c>
      <c r="C8" s="6"/>
      <c r="D8" s="6"/>
      <c r="E8" s="11">
        <f>+(E9+E10+E11+E12)</f>
        <v>731815</v>
      </c>
      <c r="F8" s="11">
        <f>+(F9+F10+F11+F12)</f>
        <v>512270.5</v>
      </c>
      <c r="G8" s="11">
        <f>+(G9+G10+G11+G12)</f>
        <v>219544.5</v>
      </c>
      <c r="H8" s="11">
        <f>+(H9+H10+H11+H12)</f>
        <v>734010.4450000001</v>
      </c>
      <c r="I8" s="11"/>
      <c r="J8" s="11">
        <f>+(J9+J10+J11+J12)</f>
        <v>1067813</v>
      </c>
      <c r="K8" s="11">
        <f>+(K9+K10+K11+K12)</f>
        <v>747469.1</v>
      </c>
      <c r="L8" s="11">
        <f>+(L9+L10+L11+L12)</f>
        <v>320343.9</v>
      </c>
      <c r="M8" s="11"/>
      <c r="N8" s="11">
        <f>+(N9+N10+N11+N12)</f>
        <v>1490493</v>
      </c>
      <c r="O8" s="11">
        <f>+(O9+O10+O11+O12)</f>
        <v>1043345.1</v>
      </c>
      <c r="P8" s="11">
        <f>+(P9+P10+P11+P12)</f>
        <v>447147.9</v>
      </c>
      <c r="Q8" s="11"/>
      <c r="R8" s="11">
        <f>+(R9+R10+R11+R12)</f>
        <v>1553072</v>
      </c>
      <c r="S8" s="11">
        <f>+(S9+S10+S11+S12)</f>
        <v>1087150.4</v>
      </c>
      <c r="T8" s="11">
        <f>+(T9+T10+T11+T12)</f>
        <v>465921.6</v>
      </c>
      <c r="U8" s="11"/>
      <c r="V8" s="11">
        <f>+(V9+V10+V11+V12)</f>
        <v>1848564</v>
      </c>
      <c r="W8" s="11">
        <f>+(W9+W10+W11+W12)</f>
        <v>1293994.8</v>
      </c>
      <c r="X8" s="11">
        <f>+(X9+X10+X11+X12)</f>
        <v>554569.2</v>
      </c>
      <c r="Y8" s="11"/>
      <c r="Z8" s="11">
        <f>+(Z9+Z10+Z11+Z12)</f>
        <v>2160073</v>
      </c>
      <c r="AA8" s="11">
        <f>+(AA9+AA10+AA11+AA12)</f>
        <v>1512051.0999999999</v>
      </c>
      <c r="AB8" s="11">
        <f>+(AB9+AB10+AB11+AB12)</f>
        <v>648021.9</v>
      </c>
    </row>
    <row r="9" spans="1:28" ht="15">
      <c r="A9" s="5" t="s">
        <v>11</v>
      </c>
      <c r="B9" s="6" t="s">
        <v>65</v>
      </c>
      <c r="C9" s="6">
        <v>70</v>
      </c>
      <c r="D9" s="6">
        <f>+(100-C9)</f>
        <v>30</v>
      </c>
      <c r="E9" s="11">
        <v>553407</v>
      </c>
      <c r="F9" s="11">
        <f>+(E9*$C9/100)</f>
        <v>387384.9</v>
      </c>
      <c r="G9" s="11">
        <f>+(E9*$D9/100)</f>
        <v>166022.1</v>
      </c>
      <c r="H9" s="11">
        <f>+(G9*1.01+F9)</f>
        <v>555067.221</v>
      </c>
      <c r="I9" s="11"/>
      <c r="J9" s="11">
        <v>808619</v>
      </c>
      <c r="K9" s="11">
        <f>+(J9*$C9/100)</f>
        <v>566033.3</v>
      </c>
      <c r="L9" s="11">
        <f>+(J9*$D9/100)</f>
        <v>242585.7</v>
      </c>
      <c r="M9" s="11"/>
      <c r="N9" s="11">
        <v>1162645</v>
      </c>
      <c r="O9" s="11">
        <f>+(N9*$C9/100)</f>
        <v>813851.5</v>
      </c>
      <c r="P9" s="11">
        <f>+(N9*$D9/100)</f>
        <v>348793.5</v>
      </c>
      <c r="Q9" s="11"/>
      <c r="R9" s="11">
        <v>1185629</v>
      </c>
      <c r="S9" s="11">
        <f>+(R9*$C9/100)</f>
        <v>829940.3</v>
      </c>
      <c r="T9" s="11">
        <f>+(R9*$D9/100)</f>
        <v>355688.7</v>
      </c>
      <c r="U9" s="11"/>
      <c r="V9" s="11">
        <v>1413091</v>
      </c>
      <c r="W9" s="11">
        <f>+(V9*$C9/100)</f>
        <v>989163.7</v>
      </c>
      <c r="X9" s="11">
        <f>+(V9*$D9/100)</f>
        <v>423927.3</v>
      </c>
      <c r="Y9" s="11"/>
      <c r="Z9" s="11">
        <v>1643124</v>
      </c>
      <c r="AA9" s="11">
        <f>+(Z9*$C9/100)</f>
        <v>1150186.8</v>
      </c>
      <c r="AB9" s="11">
        <f>+(Z9*$D9/100)</f>
        <v>492937.2</v>
      </c>
    </row>
    <row r="10" spans="1:28" ht="15">
      <c r="A10" s="5" t="s">
        <v>13</v>
      </c>
      <c r="B10" s="6" t="s">
        <v>66</v>
      </c>
      <c r="C10" s="6">
        <v>70</v>
      </c>
      <c r="D10" s="6">
        <f>+(100-C10)</f>
        <v>30</v>
      </c>
      <c r="E10" s="11">
        <v>48986</v>
      </c>
      <c r="F10" s="11">
        <f>+(E10*$C10/100)</f>
        <v>34290.2</v>
      </c>
      <c r="G10" s="11">
        <f>+(E10*$D10/100)</f>
        <v>14695.8</v>
      </c>
      <c r="H10" s="11">
        <f>+(G10*1.01+F10)</f>
        <v>49132.958</v>
      </c>
      <c r="I10" s="11"/>
      <c r="J10" s="11">
        <v>71563</v>
      </c>
      <c r="K10" s="11">
        <f>+(J10*$C10/100)</f>
        <v>50094.1</v>
      </c>
      <c r="L10" s="11">
        <f>+(J10*$D10/100)</f>
        <v>21468.9</v>
      </c>
      <c r="M10" s="11"/>
      <c r="N10" s="11">
        <v>100975</v>
      </c>
      <c r="O10" s="11">
        <f>+(N10*$C10/100)</f>
        <v>70682.5</v>
      </c>
      <c r="P10" s="11">
        <f>+(N10*$D10/100)</f>
        <v>30292.5</v>
      </c>
      <c r="Q10" s="11"/>
      <c r="R10" s="11">
        <v>104601</v>
      </c>
      <c r="S10" s="11">
        <f>+(R10*$C10/100)</f>
        <v>73220.7</v>
      </c>
      <c r="T10" s="11">
        <f>+(R10*$D10/100)</f>
        <v>31380.3</v>
      </c>
      <c r="U10" s="11"/>
      <c r="V10" s="11">
        <v>124703</v>
      </c>
      <c r="W10" s="11">
        <f>+(V10*$C10/100)</f>
        <v>87292.1</v>
      </c>
      <c r="X10" s="11">
        <f>+(V10*$D10/100)</f>
        <v>37410.9</v>
      </c>
      <c r="Y10" s="11"/>
      <c r="Z10" s="11">
        <v>146372</v>
      </c>
      <c r="AA10" s="11">
        <f>+(Z10*$C10/100)</f>
        <v>102460.4</v>
      </c>
      <c r="AB10" s="11">
        <f>+(Z10*$D10/100)</f>
        <v>43911.6</v>
      </c>
    </row>
    <row r="11" spans="1:28" ht="15">
      <c r="A11" s="5" t="s">
        <v>67</v>
      </c>
      <c r="B11" s="6" t="s">
        <v>68</v>
      </c>
      <c r="C11" s="6">
        <v>70</v>
      </c>
      <c r="D11" s="6">
        <f>+(100-C11)</f>
        <v>30</v>
      </c>
      <c r="E11" s="11">
        <v>41653</v>
      </c>
      <c r="F11" s="11">
        <f>+(E11*$C11/100)</f>
        <v>29157.1</v>
      </c>
      <c r="G11" s="11">
        <f>+(E11*$D11/100)</f>
        <v>12495.9</v>
      </c>
      <c r="H11" s="11">
        <f>+(G11*1.01+F11)</f>
        <v>41777.959</v>
      </c>
      <c r="I11" s="11"/>
      <c r="J11" s="11">
        <v>63425</v>
      </c>
      <c r="K11" s="11">
        <f>+(J11*$C11/100)</f>
        <v>44397.5</v>
      </c>
      <c r="L11" s="11">
        <f>+(J11*$D11/100)</f>
        <v>19027.5</v>
      </c>
      <c r="M11" s="11"/>
      <c r="N11" s="11">
        <v>90195</v>
      </c>
      <c r="O11" s="11">
        <f>+(N11*$C11/100)</f>
        <v>63136.5</v>
      </c>
      <c r="P11" s="11">
        <f>+(N11*$D11/100)</f>
        <v>27058.5</v>
      </c>
      <c r="Q11" s="11"/>
      <c r="R11" s="11">
        <v>101742</v>
      </c>
      <c r="S11" s="11">
        <f>+(R11*$C11/100)</f>
        <v>71219.4</v>
      </c>
      <c r="T11" s="11">
        <f>+(R11*$D11/100)</f>
        <v>30522.6</v>
      </c>
      <c r="U11" s="11"/>
      <c r="V11" s="11">
        <v>123397</v>
      </c>
      <c r="W11" s="11">
        <f>+(V11*$C11/100)</f>
        <v>86377.9</v>
      </c>
      <c r="X11" s="11">
        <f>+(V11*$D11/100)</f>
        <v>37019.1</v>
      </c>
      <c r="Y11" s="11"/>
      <c r="Z11" s="11">
        <v>147385</v>
      </c>
      <c r="AA11" s="11">
        <f>+(Z11*$C11/100)</f>
        <v>103169.5</v>
      </c>
      <c r="AB11" s="11">
        <f>+(Z11*$D11/100)</f>
        <v>44215.5</v>
      </c>
    </row>
    <row r="12" spans="1:28" ht="15">
      <c r="A12" s="5" t="s">
        <v>69</v>
      </c>
      <c r="B12" s="6" t="s">
        <v>70</v>
      </c>
      <c r="C12" s="6">
        <v>70</v>
      </c>
      <c r="D12" s="6">
        <f>+(100-C12)</f>
        <v>30</v>
      </c>
      <c r="E12" s="11">
        <v>87769</v>
      </c>
      <c r="F12" s="11">
        <f>+(E12*$C12/100)</f>
        <v>61438.3</v>
      </c>
      <c r="G12" s="11">
        <f>+(E12*$D12/100)</f>
        <v>26330.7</v>
      </c>
      <c r="H12" s="11">
        <f>+(G12*1.01+F12)</f>
        <v>88032.307</v>
      </c>
      <c r="I12" s="11"/>
      <c r="J12" s="11">
        <v>124206</v>
      </c>
      <c r="K12" s="11">
        <f>+(J12*$C12/100)</f>
        <v>86944.2</v>
      </c>
      <c r="L12" s="11">
        <f>+(J12*$D12/100)</f>
        <v>37261.8</v>
      </c>
      <c r="M12" s="11"/>
      <c r="N12" s="11">
        <v>136678</v>
      </c>
      <c r="O12" s="11">
        <f>+(N12*$C12/100)</f>
        <v>95674.6</v>
      </c>
      <c r="P12" s="11">
        <f>+(N12*$D12/100)</f>
        <v>41003.4</v>
      </c>
      <c r="Q12" s="11"/>
      <c r="R12" s="11">
        <v>161100</v>
      </c>
      <c r="S12" s="11">
        <f>+(R12*$C12/100)</f>
        <v>112770</v>
      </c>
      <c r="T12" s="11">
        <f>+(R12*$D12/100)</f>
        <v>48330</v>
      </c>
      <c r="U12" s="11"/>
      <c r="V12" s="11">
        <v>187373</v>
      </c>
      <c r="W12" s="11">
        <f>+(V12*$C12/100)</f>
        <v>131161.1</v>
      </c>
      <c r="X12" s="11">
        <f>+(V12*$D12/100)</f>
        <v>56211.9</v>
      </c>
      <c r="Y12" s="11"/>
      <c r="Z12" s="11">
        <v>223192</v>
      </c>
      <c r="AA12" s="11">
        <f>+(Z12*$C12/100)</f>
        <v>156234.4</v>
      </c>
      <c r="AB12" s="11">
        <f>+(Z12*$D12/100)</f>
        <v>66957.6</v>
      </c>
    </row>
    <row r="13" spans="1:28" ht="15">
      <c r="A13" s="5" t="s">
        <v>7</v>
      </c>
      <c r="B13" s="6" t="s">
        <v>71</v>
      </c>
      <c r="C13" s="6"/>
      <c r="D13" s="6"/>
      <c r="E13" s="11">
        <f>+(E14+E15+E16)</f>
        <v>134112</v>
      </c>
      <c r="F13" s="11">
        <f>+(F14+F15+F16)</f>
        <v>93878.4</v>
      </c>
      <c r="G13" s="11">
        <f>+(G14+G15+G16)</f>
        <v>40233.6</v>
      </c>
      <c r="H13" s="11">
        <f>+(H14+H15+H16)</f>
        <v>134514.336</v>
      </c>
      <c r="I13" s="11"/>
      <c r="J13" s="11">
        <f>+(J14+J15+J16)</f>
        <v>234015</v>
      </c>
      <c r="K13" s="11">
        <f>+(K14+K15+K16)</f>
        <v>163810.5</v>
      </c>
      <c r="L13" s="11">
        <f>+(L14+L15+L16)</f>
        <v>70204.5</v>
      </c>
      <c r="M13" s="11"/>
      <c r="N13" s="11">
        <f>+(N14+N15+N16)</f>
        <v>423246</v>
      </c>
      <c r="O13" s="11">
        <f>+(O14+O15+O16)</f>
        <v>296272.2</v>
      </c>
      <c r="P13" s="11">
        <f>+(P14+P15+P16)</f>
        <v>126973.79999999999</v>
      </c>
      <c r="Q13" s="11"/>
      <c r="R13" s="11">
        <f>+(R14+R15+R16)</f>
        <v>624752</v>
      </c>
      <c r="S13" s="11">
        <f>+(S14+S15+S16)</f>
        <v>437326.4</v>
      </c>
      <c r="T13" s="11">
        <f>+(T14+T15+T16)</f>
        <v>187425.6</v>
      </c>
      <c r="U13" s="11"/>
      <c r="V13" s="11">
        <f>+(V14+V15+V16)</f>
        <v>783734</v>
      </c>
      <c r="W13" s="11">
        <f>+(W14+W15+W16)</f>
        <v>548613.8</v>
      </c>
      <c r="X13" s="11">
        <f>+(X14+X15+X16)</f>
        <v>235120.2</v>
      </c>
      <c r="Y13" s="11"/>
      <c r="Z13" s="11">
        <f>+(Z14+Z15+Z16)</f>
        <v>832066</v>
      </c>
      <c r="AA13" s="11">
        <f>+(AA14+AA15+AA16)</f>
        <v>582446.2</v>
      </c>
      <c r="AB13" s="11">
        <f>+(AB14+AB15+AB16)</f>
        <v>249619.8</v>
      </c>
    </row>
    <row r="14" spans="1:28" ht="15">
      <c r="A14" s="5" t="s">
        <v>11</v>
      </c>
      <c r="B14" s="6" t="s">
        <v>72</v>
      </c>
      <c r="C14" s="6">
        <v>70</v>
      </c>
      <c r="D14" s="6">
        <f>+(100-C14)</f>
        <v>30</v>
      </c>
      <c r="E14" s="11">
        <v>124112</v>
      </c>
      <c r="F14" s="11">
        <f>+(E14*$C14/100)</f>
        <v>86878.4</v>
      </c>
      <c r="G14" s="11">
        <f>+(E14*$D14/100)</f>
        <v>37233.6</v>
      </c>
      <c r="H14" s="11">
        <f>+(G14*1.01+F14)</f>
        <v>124484.336</v>
      </c>
      <c r="I14" s="11"/>
      <c r="J14" s="11">
        <v>205963</v>
      </c>
      <c r="K14" s="11">
        <f>+(J14*$C14/100)</f>
        <v>144174.1</v>
      </c>
      <c r="L14" s="11">
        <f>+(J14*$D14/100)</f>
        <v>61788.9</v>
      </c>
      <c r="M14" s="11"/>
      <c r="N14" s="11">
        <v>366468</v>
      </c>
      <c r="O14" s="11">
        <f>+(N14*$C14/100)</f>
        <v>256527.6</v>
      </c>
      <c r="P14" s="11">
        <f>+(N14*$D14/100)</f>
        <v>109940.4</v>
      </c>
      <c r="Q14" s="11"/>
      <c r="R14" s="11">
        <v>604347</v>
      </c>
      <c r="S14" s="11">
        <f>+(R14*$C14/100)</f>
        <v>423042.9</v>
      </c>
      <c r="T14" s="11">
        <f>+(R14*$D14/100)</f>
        <v>181304.1</v>
      </c>
      <c r="U14" s="11"/>
      <c r="V14" s="11">
        <v>771797</v>
      </c>
      <c r="W14" s="11">
        <f>+(V14*$C14/100)</f>
        <v>540257.9</v>
      </c>
      <c r="X14" s="11">
        <f>+(V14*$D14/100)</f>
        <v>231539.1</v>
      </c>
      <c r="Y14" s="11"/>
      <c r="Z14" s="11">
        <v>832066</v>
      </c>
      <c r="AA14" s="11">
        <f>+(Z14*$C14/100)</f>
        <v>582446.2</v>
      </c>
      <c r="AB14" s="11">
        <f>+(Z14*$D14/100)</f>
        <v>249619.8</v>
      </c>
    </row>
    <row r="15" spans="1:28" ht="45">
      <c r="A15" s="5" t="s">
        <v>13</v>
      </c>
      <c r="B15" s="6" t="s">
        <v>108</v>
      </c>
      <c r="C15" s="6">
        <v>70</v>
      </c>
      <c r="D15" s="6">
        <f>+(100-C15)</f>
        <v>30</v>
      </c>
      <c r="E15" s="11">
        <v>10000</v>
      </c>
      <c r="F15" s="11">
        <f>+(E15*$C15/100)</f>
        <v>7000</v>
      </c>
      <c r="G15" s="11">
        <f>+(E15*$D15/100)</f>
        <v>3000</v>
      </c>
      <c r="H15" s="11">
        <f>+(G15*1.01+F15)</f>
        <v>10030</v>
      </c>
      <c r="I15" s="11"/>
      <c r="J15" s="11">
        <v>28000</v>
      </c>
      <c r="K15" s="11">
        <f>+(J15*$C15/100)</f>
        <v>19600</v>
      </c>
      <c r="L15" s="11">
        <f>+(J15*$D15/100)</f>
        <v>8400</v>
      </c>
      <c r="M15" s="11"/>
      <c r="N15" s="11">
        <v>32053</v>
      </c>
      <c r="O15" s="11">
        <f>+(N15*$C15/100)</f>
        <v>22437.1</v>
      </c>
      <c r="P15" s="11">
        <f>+(N15*$D15/100)</f>
        <v>9615.9</v>
      </c>
      <c r="Q15" s="11"/>
      <c r="R15" s="11">
        <v>20405</v>
      </c>
      <c r="S15" s="11">
        <f>+(R15*$C15/100)</f>
        <v>14283.5</v>
      </c>
      <c r="T15" s="11">
        <f>+(R15*$D15/100)</f>
        <v>6121.5</v>
      </c>
      <c r="U15" s="11"/>
      <c r="V15" s="11">
        <v>11937</v>
      </c>
      <c r="W15" s="11">
        <f>+(V15*$C15/100)</f>
        <v>8355.9</v>
      </c>
      <c r="X15" s="11">
        <f>+(V15*$D15/100)</f>
        <v>3581.1</v>
      </c>
      <c r="Y15" s="11"/>
      <c r="Z15" s="11">
        <v>0</v>
      </c>
      <c r="AA15" s="11">
        <f>+(Z15*$C15/100)</f>
        <v>0</v>
      </c>
      <c r="AB15" s="11">
        <f>+(Z15*$D15/100)</f>
        <v>0</v>
      </c>
    </row>
    <row r="16" spans="1:28" ht="30">
      <c r="A16" s="5" t="s">
        <v>67</v>
      </c>
      <c r="B16" s="6" t="s">
        <v>73</v>
      </c>
      <c r="C16" s="6">
        <v>70</v>
      </c>
      <c r="D16" s="6">
        <f>+(100-C16)</f>
        <v>30</v>
      </c>
      <c r="E16" s="11">
        <v>0</v>
      </c>
      <c r="F16" s="11">
        <f>+(E16*$C16/100)</f>
        <v>0</v>
      </c>
      <c r="G16" s="11">
        <f>+(E16*$D16/100)</f>
        <v>0</v>
      </c>
      <c r="H16" s="11">
        <f>+(G16*1.01+F16)</f>
        <v>0</v>
      </c>
      <c r="I16" s="11"/>
      <c r="J16" s="11">
        <v>52</v>
      </c>
      <c r="K16" s="11">
        <f>+(J16*$C16/100)</f>
        <v>36.4</v>
      </c>
      <c r="L16" s="11">
        <f>+(J16*$D16/100)</f>
        <v>15.6</v>
      </c>
      <c r="M16" s="11"/>
      <c r="N16" s="11">
        <v>24725</v>
      </c>
      <c r="O16" s="11">
        <f>+(N16*$C16/100)</f>
        <v>17307.5</v>
      </c>
      <c r="P16" s="11">
        <f>+(N16*$D16/100)</f>
        <v>7417.5</v>
      </c>
      <c r="Q16" s="11"/>
      <c r="R16" s="11">
        <v>0</v>
      </c>
      <c r="S16" s="11">
        <f>+(R16*$C16/100)</f>
        <v>0</v>
      </c>
      <c r="T16" s="11">
        <f>+(R16*$D16/100)</f>
        <v>0</v>
      </c>
      <c r="U16" s="11"/>
      <c r="V16" s="11">
        <v>0</v>
      </c>
      <c r="W16" s="11">
        <f>+(V16*$C16/100)</f>
        <v>0</v>
      </c>
      <c r="X16" s="11">
        <f>+(V16*$D16/100)</f>
        <v>0</v>
      </c>
      <c r="Y16" s="11"/>
      <c r="Z16" s="11">
        <v>0</v>
      </c>
      <c r="AA16" s="11">
        <f>+(Z16*$C16/100)</f>
        <v>0</v>
      </c>
      <c r="AB16" s="11">
        <f>+(Z16*$D16/100)</f>
        <v>0</v>
      </c>
    </row>
    <row r="17" spans="1:28" ht="15">
      <c r="A17" s="5" t="s">
        <v>9</v>
      </c>
      <c r="B17" s="6" t="s">
        <v>74</v>
      </c>
      <c r="C17" s="6">
        <v>70</v>
      </c>
      <c r="D17" s="6">
        <f>+(100-C17)</f>
        <v>30</v>
      </c>
      <c r="E17" s="11">
        <v>266035</v>
      </c>
      <c r="F17" s="11">
        <f>+(E17*$C17/100)</f>
        <v>186224.5</v>
      </c>
      <c r="G17" s="11">
        <f>+(E17*$D17/100)</f>
        <v>79810.5</v>
      </c>
      <c r="H17" s="11">
        <f>+(G17*1.01+F17)</f>
        <v>266833.105</v>
      </c>
      <c r="I17" s="11"/>
      <c r="J17" s="11">
        <v>161776</v>
      </c>
      <c r="K17" s="11">
        <f>+(J17*$C17/100)</f>
        <v>113243.2</v>
      </c>
      <c r="L17" s="11">
        <f>+(J17*$D17/100)</f>
        <v>48532.8</v>
      </c>
      <c r="M17" s="11"/>
      <c r="N17" s="11">
        <v>15847</v>
      </c>
      <c r="O17" s="11">
        <f>+(N17*$C17/100)</f>
        <v>11092.9</v>
      </c>
      <c r="P17" s="11">
        <f>+(N17*$D17/100)</f>
        <v>4754.1</v>
      </c>
      <c r="Q17" s="11"/>
      <c r="R17" s="11">
        <v>14504</v>
      </c>
      <c r="S17" s="11">
        <f>+(R17*$C17/100)</f>
        <v>10152.8</v>
      </c>
      <c r="T17" s="11">
        <f>+(R17*$D17/100)</f>
        <v>4351.2</v>
      </c>
      <c r="U17" s="11"/>
      <c r="V17" s="11">
        <v>20199</v>
      </c>
      <c r="W17" s="11">
        <f>+(V17*$C17/100)</f>
        <v>14139.3</v>
      </c>
      <c r="X17" s="11">
        <f>+(V17*$D17/100)</f>
        <v>6059.7</v>
      </c>
      <c r="Y17" s="11"/>
      <c r="Z17" s="11">
        <v>10430</v>
      </c>
      <c r="AA17" s="11">
        <f>+(Z17*$C17/100)</f>
        <v>7301</v>
      </c>
      <c r="AB17" s="11">
        <f>+(Z17*$D17/100)</f>
        <v>3129</v>
      </c>
    </row>
    <row r="18" spans="1:26" ht="15">
      <c r="A18" s="27" t="s">
        <v>75</v>
      </c>
      <c r="B18" s="26" t="s">
        <v>76</v>
      </c>
      <c r="C18" s="26"/>
      <c r="D18" s="26"/>
      <c r="E18" s="31">
        <f>+(E3-E4)</f>
        <v>295204</v>
      </c>
      <c r="F18" s="31"/>
      <c r="G18" s="31"/>
      <c r="H18" s="31">
        <f>+(H3-H4)</f>
        <v>322822.84999999916</v>
      </c>
      <c r="I18" s="31"/>
      <c r="J18" s="31">
        <f>+(J3-J4)</f>
        <v>188967</v>
      </c>
      <c r="K18" s="31"/>
      <c r="L18" s="31"/>
      <c r="M18" s="31"/>
      <c r="N18" s="31">
        <f>+(N3-N4)</f>
        <v>1161174</v>
      </c>
      <c r="O18" s="31"/>
      <c r="P18" s="31"/>
      <c r="Q18" s="31"/>
      <c r="R18" s="31">
        <f>+(R3-R4)</f>
        <v>856570</v>
      </c>
      <c r="S18" s="31"/>
      <c r="T18" s="31"/>
      <c r="U18" s="31"/>
      <c r="V18" s="31">
        <f>+(V3-V4)</f>
        <v>1076303</v>
      </c>
      <c r="W18" s="31"/>
      <c r="X18" s="31"/>
      <c r="Y18" s="31"/>
      <c r="Z18" s="31">
        <f>+(Z3-Z4)</f>
        <v>996019</v>
      </c>
    </row>
    <row r="19" ht="15">
      <c r="F19" s="1"/>
    </row>
    <row r="20" spans="1:26" ht="15">
      <c r="A20" s="39"/>
      <c r="B20" s="31" t="s">
        <v>114</v>
      </c>
      <c r="C20" s="42"/>
      <c r="D20" s="42"/>
      <c r="E20" s="42">
        <f>+((E3-G4)/E18)</f>
        <v>9.355852224224604</v>
      </c>
      <c r="F20" s="39"/>
      <c r="G20" s="39"/>
      <c r="H20" s="42">
        <f>+(H18/E18-1)*100</f>
        <v>9.355852224224325</v>
      </c>
      <c r="I20" s="39"/>
      <c r="J20" s="42">
        <f>+((J3-L4)/J18)</f>
        <v>19.60971227780512</v>
      </c>
      <c r="K20" s="39"/>
      <c r="M20" s="39"/>
      <c r="N20" s="42">
        <f>+((N3-P4)/N18)</f>
        <v>4.736697170277667</v>
      </c>
      <c r="O20" s="39"/>
      <c r="P20" s="39"/>
      <c r="Q20" s="39"/>
      <c r="R20" s="42">
        <f>+((R3-T4)/R18)</f>
        <v>6.777387487304015</v>
      </c>
      <c r="S20" s="39"/>
      <c r="T20" s="39"/>
      <c r="U20" s="39"/>
      <c r="V20" s="42">
        <f>+((V3-X4)/V18)</f>
        <v>6.25450937143165</v>
      </c>
      <c r="W20" s="39"/>
      <c r="X20" s="39"/>
      <c r="Y20" s="39"/>
      <c r="Z20" s="42">
        <f>+((Z3-AB4)/Z18)</f>
        <v>7.724567202031286</v>
      </c>
    </row>
    <row r="21" spans="2:28" ht="15">
      <c r="B21" s="39" t="s">
        <v>126</v>
      </c>
      <c r="C21" s="39"/>
      <c r="D21" s="39"/>
      <c r="E21" s="42">
        <f>+(E18/E3*100)</f>
        <v>7.7298081137795585</v>
      </c>
      <c r="F21" s="42"/>
      <c r="G21" s="42"/>
      <c r="H21" s="42"/>
      <c r="I21" s="42"/>
      <c r="J21" s="42">
        <f>+(J18/J3*100)</f>
        <v>3.62511874816794</v>
      </c>
      <c r="K21" s="42"/>
      <c r="L21" s="42"/>
      <c r="M21" s="42"/>
      <c r="N21" s="42">
        <f>+(N18/N3*100)</f>
        <v>15.777502343171893</v>
      </c>
      <c r="O21" s="42"/>
      <c r="P21" s="42"/>
      <c r="Q21" s="42"/>
      <c r="R21" s="42">
        <f>+(R18/R3*100)</f>
        <v>10.80682607566759</v>
      </c>
      <c r="S21" s="42"/>
      <c r="T21" s="42"/>
      <c r="U21" s="42"/>
      <c r="V21" s="42">
        <f>+(V18/V3*100)</f>
        <v>11.755796428139604</v>
      </c>
      <c r="W21" s="42"/>
      <c r="X21" s="42"/>
      <c r="Y21" s="42"/>
      <c r="Z21" s="42">
        <f>+(Z18/Z3*100)</f>
        <v>9.428158988290752</v>
      </c>
      <c r="AA21" s="42"/>
      <c r="AB21" s="4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G5"/>
    </sheetView>
  </sheetViews>
  <sheetFormatPr defaultColWidth="9.140625" defaultRowHeight="15"/>
  <cols>
    <col min="1" max="1" width="24.7109375" style="5" customWidth="1"/>
    <col min="2" max="7" width="14.00390625" style="0" customWidth="1"/>
  </cols>
  <sheetData>
    <row r="1" spans="2:7" ht="15">
      <c r="B1" s="26">
        <v>2007</v>
      </c>
      <c r="C1" s="27">
        <v>2008</v>
      </c>
      <c r="D1" s="28">
        <v>2009</v>
      </c>
      <c r="E1" s="28">
        <v>2010</v>
      </c>
      <c r="F1" s="28">
        <v>2011</v>
      </c>
      <c r="G1" s="29">
        <v>2012</v>
      </c>
    </row>
    <row r="2" spans="1:8" ht="15">
      <c r="A2" s="5" t="s">
        <v>129</v>
      </c>
      <c r="B2" s="18">
        <v>295204</v>
      </c>
      <c r="C2" s="18">
        <v>188967</v>
      </c>
      <c r="D2" s="18">
        <v>1161174</v>
      </c>
      <c r="E2" s="18">
        <v>856570</v>
      </c>
      <c r="F2" s="18">
        <v>1076303</v>
      </c>
      <c r="G2" s="18">
        <v>996019</v>
      </c>
      <c r="H2" s="5"/>
    </row>
    <row r="3" spans="1:11" ht="15">
      <c r="A3" s="5" t="s">
        <v>128</v>
      </c>
      <c r="B3" s="18">
        <v>90653</v>
      </c>
      <c r="C3" s="18">
        <v>261865</v>
      </c>
      <c r="D3" s="18">
        <v>159476</v>
      </c>
      <c r="E3" s="18">
        <v>355613</v>
      </c>
      <c r="F3" s="18">
        <v>278004</v>
      </c>
      <c r="G3" s="18">
        <v>144201</v>
      </c>
      <c r="H3" s="5"/>
      <c r="I3" s="5"/>
      <c r="J3" s="5"/>
      <c r="K3" s="5"/>
    </row>
    <row r="4" spans="1:11" ht="15">
      <c r="A4" s="27" t="s">
        <v>127</v>
      </c>
      <c r="B4" s="46">
        <f aca="true" t="shared" si="0" ref="B4:G4">+(B2/(B2-B3))</f>
        <v>1.4431804293305825</v>
      </c>
      <c r="C4" s="46">
        <f t="shared" si="0"/>
        <v>-2.592211034596285</v>
      </c>
      <c r="D4" s="46">
        <f t="shared" si="0"/>
        <v>1.159205668774421</v>
      </c>
      <c r="E4" s="46">
        <f t="shared" si="0"/>
        <v>1.7098673139610785</v>
      </c>
      <c r="F4" s="46">
        <f t="shared" si="0"/>
        <v>1.3482454569027396</v>
      </c>
      <c r="G4" s="46">
        <f t="shared" si="0"/>
        <v>1.169286162067484</v>
      </c>
      <c r="H4" s="27"/>
      <c r="I4" s="5"/>
      <c r="J4" s="5"/>
      <c r="K4" s="5"/>
    </row>
    <row r="5" spans="2:11" ht="1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5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15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ht="1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1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ht="1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11" ht="1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1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1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ht="1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ht="1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ht="1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ht="1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ht="15"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G4"/>
    </sheetView>
  </sheetViews>
  <sheetFormatPr defaultColWidth="9.140625" defaultRowHeight="15"/>
  <sheetData>
    <row r="1" spans="1:7" ht="15">
      <c r="A1" s="8"/>
      <c r="B1" s="47">
        <v>2007</v>
      </c>
      <c r="C1" s="48">
        <v>2008</v>
      </c>
      <c r="D1" s="29">
        <v>2009</v>
      </c>
      <c r="E1" s="29">
        <v>2010</v>
      </c>
      <c r="F1" s="29">
        <v>2011</v>
      </c>
      <c r="G1" s="29">
        <v>2012</v>
      </c>
    </row>
    <row r="2" spans="1:11" ht="15">
      <c r="A2" s="8" t="s">
        <v>130</v>
      </c>
      <c r="B2" s="7">
        <f>+('Poslovni vzvod'!E20)</f>
        <v>9.355852224224604</v>
      </c>
      <c r="C2" s="7">
        <f>+('Poslovni vzvod'!J20)</f>
        <v>19.60971227780512</v>
      </c>
      <c r="D2" s="7">
        <f>+('Poslovni vzvod'!N20)</f>
        <v>4.736697170277667</v>
      </c>
      <c r="E2" s="7">
        <f>+('Poslovni vzvod'!R20)</f>
        <v>6.777387487304015</v>
      </c>
      <c r="F2" s="7">
        <f>+('Poslovni vzvod'!V20)</f>
        <v>6.25450937143165</v>
      </c>
      <c r="G2" s="7">
        <f>+('Poslovni vzvod'!Z20)</f>
        <v>7.724567202031286</v>
      </c>
      <c r="H2" s="5"/>
      <c r="I2" s="5"/>
      <c r="J2" s="5"/>
      <c r="K2" s="5"/>
    </row>
    <row r="3" spans="1:11" ht="15">
      <c r="A3" s="8" t="s">
        <v>131</v>
      </c>
      <c r="B3" s="7">
        <f>+('Finančni vzvod'!B4)</f>
        <v>1.4431804293305825</v>
      </c>
      <c r="C3" s="7">
        <f>+('Finančni vzvod'!C4)</f>
        <v>-2.592211034596285</v>
      </c>
      <c r="D3" s="7">
        <f>+('Finančni vzvod'!D4)</f>
        <v>1.159205668774421</v>
      </c>
      <c r="E3" s="7">
        <f>+('Finančni vzvod'!E4)</f>
        <v>1.7098673139610785</v>
      </c>
      <c r="F3" s="7">
        <f>+('Finančni vzvod'!F4)</f>
        <v>1.3482454569027396</v>
      </c>
      <c r="G3" s="7">
        <f>+('Finančni vzvod'!G4)</f>
        <v>1.169286162067484</v>
      </c>
      <c r="H3" s="5"/>
      <c r="I3" s="5"/>
      <c r="J3" s="5"/>
      <c r="K3" s="5"/>
    </row>
    <row r="4" spans="1:11" ht="15">
      <c r="A4" s="48" t="s">
        <v>132</v>
      </c>
      <c r="B4" s="49">
        <f>+(B2*B3)</f>
        <v>13.50218282970995</v>
      </c>
      <c r="C4" s="49">
        <f>+(C2*C3)</f>
        <v>-50.83251255178469</v>
      </c>
      <c r="D4" s="49">
        <f>+(D2*D3)</f>
        <v>5.490806211053631</v>
      </c>
      <c r="E4" s="49">
        <f>+(E2*E3)</f>
        <v>11.588433338589939</v>
      </c>
      <c r="F4" s="49">
        <f>+(F2*F3)</f>
        <v>8.432613845188332</v>
      </c>
      <c r="G4" s="49">
        <f>+(G2*G3)</f>
        <v>9.032229537295526</v>
      </c>
      <c r="H4" s="27"/>
      <c r="I4" s="5"/>
      <c r="J4" s="5"/>
      <c r="K4" s="5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40.28125" style="0" customWidth="1"/>
    <col min="2" max="7" width="13.57421875" style="0" customWidth="1"/>
  </cols>
  <sheetData>
    <row r="1" spans="1:14" ht="15">
      <c r="A1" s="5"/>
      <c r="B1" s="26">
        <v>2007</v>
      </c>
      <c r="C1" s="27">
        <v>2008</v>
      </c>
      <c r="D1" s="28">
        <v>2009</v>
      </c>
      <c r="E1" s="28">
        <v>2010</v>
      </c>
      <c r="F1" s="28">
        <v>2011</v>
      </c>
      <c r="G1" s="29">
        <v>2012</v>
      </c>
      <c r="H1" s="5"/>
      <c r="I1" s="5"/>
      <c r="J1" s="5"/>
      <c r="K1" s="5"/>
      <c r="L1" s="5"/>
      <c r="M1" s="5"/>
      <c r="N1" s="5"/>
    </row>
    <row r="2" spans="1:14" ht="15">
      <c r="A2" s="5" t="s">
        <v>133</v>
      </c>
      <c r="B2" s="18">
        <f>+('Letna poročila'!C2)</f>
        <v>5138420</v>
      </c>
      <c r="C2" s="18">
        <f>+('Letna poročila'!D2)</f>
        <v>6215073</v>
      </c>
      <c r="D2" s="18">
        <f>+('Letna poročila'!E2)</f>
        <v>7480076</v>
      </c>
      <c r="E2" s="18">
        <f>+('Letna poročila'!F2)</f>
        <v>7562777</v>
      </c>
      <c r="F2" s="18">
        <f>+('Letna poročila'!G2)</f>
        <v>8800068</v>
      </c>
      <c r="G2" s="18">
        <f>+('Letna poročila'!H2)</f>
        <v>10059203</v>
      </c>
      <c r="H2" s="5"/>
      <c r="I2" s="5"/>
      <c r="J2" s="5"/>
      <c r="K2" s="5"/>
      <c r="L2" s="5"/>
      <c r="M2" s="5"/>
      <c r="N2" s="5"/>
    </row>
    <row r="3" spans="1:14" ht="15">
      <c r="A3" s="5" t="s">
        <v>134</v>
      </c>
      <c r="B3" s="18">
        <f>+('Letna poročila'!C12+'Letna poročila'!C20)</f>
        <v>1622182</v>
      </c>
      <c r="C3" s="18">
        <f>+('Letna poročila'!D12+'Letna poročila'!D20)</f>
        <v>1677337</v>
      </c>
      <c r="D3" s="18">
        <f>+('Letna poročila'!E12+'Letna poročila'!E20)</f>
        <v>2452107</v>
      </c>
      <c r="E3" s="18">
        <f>+('Letna poročila'!F12+'Letna poročila'!F20)</f>
        <v>2496142</v>
      </c>
      <c r="F3" s="18">
        <f>+('Letna poročila'!G12+'Letna poročila'!G20)</f>
        <v>3160692</v>
      </c>
      <c r="G3" s="18">
        <f>+('Letna poročila'!H12+'Letna poročila'!H20)</f>
        <v>4546186</v>
      </c>
      <c r="H3" s="5"/>
      <c r="I3" s="5"/>
      <c r="J3" s="5"/>
      <c r="K3" s="5"/>
      <c r="L3" s="5"/>
      <c r="M3" s="5"/>
      <c r="N3" s="5"/>
    </row>
    <row r="4" spans="1:14" ht="15">
      <c r="A4" s="5" t="s">
        <v>135</v>
      </c>
      <c r="B4" s="18">
        <f>+('Letna poročila'!C33)</f>
        <v>527102</v>
      </c>
      <c r="C4" s="18">
        <f>+('Letna poročila'!D33)</f>
        <v>765527</v>
      </c>
      <c r="D4" s="18">
        <f>+('Letna poročila'!E33)</f>
        <v>853881</v>
      </c>
      <c r="E4" s="18">
        <f>+('Letna poročila'!F33)</f>
        <v>1789002</v>
      </c>
      <c r="F4" s="18">
        <f>+('Letna poročila'!G33)</f>
        <v>2320654</v>
      </c>
      <c r="G4" s="18">
        <f>+('Letna poročila'!H33)</f>
        <v>3133220</v>
      </c>
      <c r="H4" s="5"/>
      <c r="I4" s="5"/>
      <c r="J4" s="5"/>
      <c r="K4" s="5"/>
      <c r="L4" s="5"/>
      <c r="M4" s="5"/>
      <c r="N4" s="5"/>
    </row>
    <row r="5" spans="1:14" ht="15">
      <c r="A5" s="5" t="s">
        <v>136</v>
      </c>
      <c r="B5" s="18">
        <f>+('Letna poročila'!C70)</f>
        <v>295204</v>
      </c>
      <c r="C5" s="18">
        <f>+('Letna poročila'!D70)</f>
        <v>188967</v>
      </c>
      <c r="D5" s="18">
        <f>+('Letna poročila'!E70)</f>
        <v>1161174</v>
      </c>
      <c r="E5" s="18">
        <f>+('Letna poročila'!F70)</f>
        <v>856570</v>
      </c>
      <c r="F5" s="18">
        <f>+('Letna poročila'!G70)</f>
        <v>1076303</v>
      </c>
      <c r="G5" s="18">
        <f>+('Letna poročila'!H70)</f>
        <v>996019</v>
      </c>
      <c r="H5" s="5"/>
      <c r="I5" s="5"/>
      <c r="J5" s="5"/>
      <c r="K5" s="5"/>
      <c r="L5" s="5"/>
      <c r="M5" s="5"/>
      <c r="N5" s="5"/>
    </row>
    <row r="6" spans="1:14" ht="15">
      <c r="A6" s="5" t="s">
        <v>137</v>
      </c>
      <c r="B6" s="18">
        <f>+('Letna poročila'!C26)</f>
        <v>838902</v>
      </c>
      <c r="C6" s="18">
        <f>+('Letna poročila'!D26)</f>
        <v>927255</v>
      </c>
      <c r="D6" s="18">
        <f>+('Letna poročila'!E26)</f>
        <v>1862375</v>
      </c>
      <c r="E6" s="18">
        <f>+('Letna poročila'!F26)</f>
        <v>2394028</v>
      </c>
      <c r="F6" s="18">
        <f>+('Letna poročila'!G26)</f>
        <v>3206594</v>
      </c>
      <c r="G6" s="18">
        <f>+('Letna poročila'!H26)</f>
        <v>4024801</v>
      </c>
      <c r="H6" s="5"/>
      <c r="I6" s="5"/>
      <c r="J6" s="5"/>
      <c r="K6" s="5"/>
      <c r="L6" s="5"/>
      <c r="M6" s="5"/>
      <c r="N6" s="5"/>
    </row>
    <row r="7" spans="1:14" ht="15">
      <c r="A7" s="5" t="s">
        <v>138</v>
      </c>
      <c r="B7" s="18">
        <f>+('Letna poročila'!C35+'Letna poročila'!C38+'Letna poročila'!C42+'Letna poročila'!C46)</f>
        <v>4299518</v>
      </c>
      <c r="C7" s="18">
        <f>+('Letna poročila'!D35+'Letna poročila'!D38+'Letna poročila'!D42+'Letna poročila'!D46)</f>
        <v>5287818</v>
      </c>
      <c r="D7" s="18">
        <f>+('Letna poročila'!E35+'Letna poročila'!E38+'Letna poročila'!E42+'Letna poročila'!E46)</f>
        <v>5617701</v>
      </c>
      <c r="E7" s="18">
        <f>+('Letna poročila'!F35+'Letna poročila'!F38+'Letna poročila'!F42+'Letna poročila'!F46)</f>
        <v>5168749</v>
      </c>
      <c r="F7" s="18">
        <f>+('Letna poročila'!G35+'Letna poročila'!G38+'Letna poročila'!G42+'Letna poročila'!G46)</f>
        <v>5593474</v>
      </c>
      <c r="G7" s="18">
        <f>+('Letna poročila'!H35+'Letna poročila'!H38+'Letna poročila'!H42+'Letna poročila'!H46)</f>
        <v>6034402</v>
      </c>
      <c r="H7" s="5"/>
      <c r="I7" s="5"/>
      <c r="J7" s="5"/>
      <c r="K7" s="5"/>
      <c r="L7" s="5"/>
      <c r="M7" s="5"/>
      <c r="N7" s="5"/>
    </row>
    <row r="8" spans="1:14" ht="15">
      <c r="A8" s="5" t="s">
        <v>139</v>
      </c>
      <c r="B8" s="18">
        <f>+('Letna poročila'!C52)</f>
        <v>3446589</v>
      </c>
      <c r="C8" s="18">
        <f>+('Letna poročila'!D52)</f>
        <v>4507665</v>
      </c>
      <c r="D8" s="18">
        <f>+('Letna poročila'!E52)</f>
        <v>6684536</v>
      </c>
      <c r="E8" s="18">
        <f>+('Letna poročila'!F52)</f>
        <v>7187603</v>
      </c>
      <c r="F8" s="18">
        <f>+('Letna poročila'!G52)</f>
        <v>7722775</v>
      </c>
      <c r="G8" s="18">
        <f>+('Letna poročila'!H52)</f>
        <v>9190835</v>
      </c>
      <c r="H8" s="5"/>
      <c r="I8" s="5"/>
      <c r="J8" s="5"/>
      <c r="K8" s="5"/>
      <c r="L8" s="5"/>
      <c r="M8" s="5"/>
      <c r="N8" s="5"/>
    </row>
    <row r="9" spans="1:14" ht="15">
      <c r="A9" s="5" t="s">
        <v>140</v>
      </c>
      <c r="B9" s="18">
        <f>+(B3/B2)</f>
        <v>0.3156966538352256</v>
      </c>
      <c r="C9" s="18">
        <f>+(C3/C2)</f>
        <v>0.26988210757942827</v>
      </c>
      <c r="D9" s="18">
        <f>+(D3/D2)</f>
        <v>0.3278184606680467</v>
      </c>
      <c r="E9" s="18">
        <f>+(E3/E2)</f>
        <v>0.33005627430241563</v>
      </c>
      <c r="F9" s="18">
        <f>+(F3/F2)</f>
        <v>0.3591667700749585</v>
      </c>
      <c r="G9" s="18">
        <f>+(G3/G2)</f>
        <v>0.45194296208158835</v>
      </c>
      <c r="H9" s="5"/>
      <c r="I9" s="5"/>
      <c r="J9" s="5"/>
      <c r="K9" s="5"/>
      <c r="L9" s="5"/>
      <c r="M9" s="5"/>
      <c r="N9" s="5"/>
    </row>
    <row r="10" spans="1:14" ht="15">
      <c r="A10" s="5" t="s">
        <v>141</v>
      </c>
      <c r="B10" s="18">
        <f>+(B4/B2)</f>
        <v>0.1025805597829683</v>
      </c>
      <c r="C10" s="18">
        <f>+(C4/C2)</f>
        <v>0.12317264817323947</v>
      </c>
      <c r="D10" s="18">
        <f>+(D4/D2)</f>
        <v>0.1141540540497182</v>
      </c>
      <c r="E10" s="18">
        <f>+(E4/E2)</f>
        <v>0.2365535834257707</v>
      </c>
      <c r="F10" s="18">
        <f>+(F4/F2)</f>
        <v>0.26370864406956857</v>
      </c>
      <c r="G10" s="18">
        <f>+(G4/G2)</f>
        <v>0.3114779570508717</v>
      </c>
      <c r="H10" s="5"/>
      <c r="I10" s="5"/>
      <c r="J10" s="5"/>
      <c r="K10" s="5"/>
      <c r="L10" s="5"/>
      <c r="M10" s="5"/>
      <c r="N10" s="5"/>
    </row>
    <row r="11" spans="1:14" ht="15">
      <c r="A11" s="5" t="s">
        <v>142</v>
      </c>
      <c r="B11" s="18">
        <f>+(B5/B2)</f>
        <v>0.05745034465847478</v>
      </c>
      <c r="C11" s="18">
        <f>+(C5/C2)</f>
        <v>0.03040463080642818</v>
      </c>
      <c r="D11" s="18">
        <f>+(D5/D2)</f>
        <v>0.1552355885154108</v>
      </c>
      <c r="E11" s="18">
        <f>+(E5/E2)</f>
        <v>0.11326130599910589</v>
      </c>
      <c r="F11" s="18">
        <f>+(F5/F2)</f>
        <v>0.1223062139974373</v>
      </c>
      <c r="G11" s="18">
        <f>+(G5/G2)</f>
        <v>0.09901569736687886</v>
      </c>
      <c r="H11" s="5"/>
      <c r="I11" s="5"/>
      <c r="J11" s="5"/>
      <c r="K11" s="5"/>
      <c r="L11" s="5"/>
      <c r="M11" s="5"/>
      <c r="N11" s="5"/>
    </row>
    <row r="12" spans="1:14" ht="15">
      <c r="A12" s="5" t="s">
        <v>143</v>
      </c>
      <c r="B12" s="18">
        <f>+(B6/B7)</f>
        <v>0.1951153594426166</v>
      </c>
      <c r="C12" s="18">
        <f>+(C6/C7)</f>
        <v>0.17535682960343946</v>
      </c>
      <c r="D12" s="18">
        <f>+(D6/D7)</f>
        <v>0.33151906803156667</v>
      </c>
      <c r="E12" s="18">
        <f>+(E6/E7)</f>
        <v>0.46317358416901266</v>
      </c>
      <c r="F12" s="18">
        <f>+(F6/F7)</f>
        <v>0.5732741405430686</v>
      </c>
      <c r="G12" s="18">
        <f>+(G6/G7)</f>
        <v>0.6669759489009848</v>
      </c>
      <c r="H12" s="5"/>
      <c r="I12" s="5"/>
      <c r="J12" s="5"/>
      <c r="K12" s="5"/>
      <c r="L12" s="5"/>
      <c r="M12" s="5"/>
      <c r="N12" s="5"/>
    </row>
    <row r="13" spans="1:14" ht="15">
      <c r="A13" s="5" t="s">
        <v>144</v>
      </c>
      <c r="B13" s="18">
        <f>+(B8/B2)</f>
        <v>0.6707487904842344</v>
      </c>
      <c r="C13" s="18">
        <f>+(C8/C2)</f>
        <v>0.7252794939013588</v>
      </c>
      <c r="D13" s="18">
        <f>+(D8/D2)</f>
        <v>0.8936454656343064</v>
      </c>
      <c r="E13" s="18">
        <f>+(E8/E2)</f>
        <v>0.9503920319216076</v>
      </c>
      <c r="F13" s="18">
        <f>+(F8/F2)</f>
        <v>0.8775812868718742</v>
      </c>
      <c r="G13" s="18">
        <f>+(G8/G2)</f>
        <v>0.9136742741944864</v>
      </c>
      <c r="H13" s="5"/>
      <c r="I13" s="5"/>
      <c r="J13" s="5"/>
      <c r="K13" s="5"/>
      <c r="L13" s="5"/>
      <c r="M13" s="5"/>
      <c r="N13" s="5"/>
    </row>
    <row r="14" spans="1:14" ht="15">
      <c r="A14" s="27" t="s">
        <v>145</v>
      </c>
      <c r="B14" s="46">
        <f>+SUM(B9:B13)</f>
        <v>1.3415917082035196</v>
      </c>
      <c r="C14" s="46">
        <f>+SUM(C9:C13)</f>
        <v>1.3240957100638941</v>
      </c>
      <c r="D14" s="46">
        <f>+SUM(D9:D13)</f>
        <v>1.8223726368990487</v>
      </c>
      <c r="E14" s="46">
        <f>+SUM(E9:E13)</f>
        <v>2.0934367798179125</v>
      </c>
      <c r="F14" s="46">
        <f>+SUM(F9:F13)</f>
        <v>2.196037055556907</v>
      </c>
      <c r="G14" s="46">
        <f>+SUM(G9:G13)</f>
        <v>2.44308683959481</v>
      </c>
      <c r="H14" s="5"/>
      <c r="I14" s="5"/>
      <c r="J14" s="5"/>
      <c r="K14" s="5"/>
      <c r="L14" s="5"/>
      <c r="M14" s="5"/>
      <c r="N14" s="5"/>
    </row>
    <row r="15" spans="1:14" ht="15">
      <c r="A15" s="5"/>
      <c r="B15" s="18"/>
      <c r="C15" s="18"/>
      <c r="D15" s="18"/>
      <c r="E15" s="18"/>
      <c r="F15" s="18"/>
      <c r="G15" s="18"/>
      <c r="H15" s="5"/>
      <c r="I15" s="5"/>
      <c r="J15" s="5"/>
      <c r="K15" s="5"/>
      <c r="L15" s="5"/>
      <c r="M15" s="5"/>
      <c r="N15" s="5"/>
    </row>
    <row r="16" spans="1:14" ht="15">
      <c r="A16" s="5"/>
      <c r="B16" s="18"/>
      <c r="C16" s="18"/>
      <c r="D16" s="18"/>
      <c r="E16" s="18"/>
      <c r="F16" s="18"/>
      <c r="G16" s="18"/>
      <c r="H16" s="5"/>
      <c r="I16" s="5"/>
      <c r="J16" s="5"/>
      <c r="K16" s="5"/>
      <c r="L16" s="5"/>
      <c r="M16" s="5"/>
      <c r="N16" s="5"/>
    </row>
    <row r="17" spans="1:14" ht="15">
      <c r="A17" s="5"/>
      <c r="B17" s="18"/>
      <c r="C17" s="18"/>
      <c r="D17" s="18"/>
      <c r="E17" s="18"/>
      <c r="F17" s="18"/>
      <c r="G17" s="18"/>
      <c r="H17" s="5"/>
      <c r="I17" s="5"/>
      <c r="J17" s="5"/>
      <c r="K17" s="5"/>
      <c r="L17" s="5"/>
      <c r="M17" s="5"/>
      <c r="N17" s="5"/>
    </row>
    <row r="18" spans="1:14" ht="15">
      <c r="A18" s="5"/>
      <c r="B18" s="18"/>
      <c r="C18" s="18"/>
      <c r="D18" s="18"/>
      <c r="E18" s="18"/>
      <c r="F18" s="18"/>
      <c r="G18" s="18"/>
      <c r="H18" s="5"/>
      <c r="I18" s="5"/>
      <c r="J18" s="5"/>
      <c r="K18" s="5"/>
      <c r="L18" s="5"/>
      <c r="M18" s="5"/>
      <c r="N18" s="5"/>
    </row>
    <row r="19" spans="1:14" ht="15">
      <c r="A19" s="5"/>
      <c r="B19" s="18"/>
      <c r="C19" s="18"/>
      <c r="D19" s="18"/>
      <c r="E19" s="18"/>
      <c r="F19" s="18"/>
      <c r="G19" s="18"/>
      <c r="H19" s="5"/>
      <c r="I19" s="5"/>
      <c r="J19" s="5"/>
      <c r="K19" s="5"/>
      <c r="L19" s="5"/>
      <c r="M19" s="5"/>
      <c r="N19" s="5"/>
    </row>
    <row r="20" spans="1:14" ht="15">
      <c r="A20" s="5"/>
      <c r="B20" s="18"/>
      <c r="C20" s="18"/>
      <c r="D20" s="18"/>
      <c r="E20" s="18"/>
      <c r="F20" s="18"/>
      <c r="G20" s="18"/>
      <c r="H20" s="5"/>
      <c r="I20" s="5"/>
      <c r="J20" s="5"/>
      <c r="K20" s="5"/>
      <c r="L20" s="5"/>
      <c r="M20" s="5"/>
      <c r="N20" s="5"/>
    </row>
    <row r="21" spans="1:14" ht="15">
      <c r="A21" s="5"/>
      <c r="B21" s="18"/>
      <c r="C21" s="18"/>
      <c r="D21" s="18"/>
      <c r="E21" s="18"/>
      <c r="F21" s="18"/>
      <c r="G21" s="18"/>
      <c r="H21" s="5"/>
      <c r="I21" s="5"/>
      <c r="J21" s="5"/>
      <c r="K21" s="5"/>
      <c r="L21" s="5"/>
      <c r="M21" s="5"/>
      <c r="N21" s="5"/>
    </row>
    <row r="22" spans="1:14" ht="15">
      <c r="A22" s="5"/>
      <c r="B22" s="18"/>
      <c r="C22" s="18"/>
      <c r="D22" s="18"/>
      <c r="E22" s="18"/>
      <c r="F22" s="18"/>
      <c r="G22" s="18"/>
      <c r="H22" s="5"/>
      <c r="I22" s="5"/>
      <c r="J22" s="5"/>
      <c r="K22" s="5"/>
      <c r="L22" s="5"/>
      <c r="M22" s="5"/>
      <c r="N22" s="5"/>
    </row>
    <row r="23" spans="1:14" ht="15">
      <c r="A23" s="5"/>
      <c r="B23" s="18"/>
      <c r="C23" s="18"/>
      <c r="D23" s="18"/>
      <c r="E23" s="18"/>
      <c r="F23" s="18"/>
      <c r="G23" s="18"/>
      <c r="H23" s="5"/>
      <c r="I23" s="5"/>
      <c r="J23" s="5"/>
      <c r="K23" s="5"/>
      <c r="L23" s="5"/>
      <c r="M23" s="5"/>
      <c r="N23" s="5"/>
    </row>
    <row r="24" spans="1:14" ht="15">
      <c r="A24" s="5"/>
      <c r="B24" s="18"/>
      <c r="C24" s="18"/>
      <c r="D24" s="18"/>
      <c r="E24" s="18"/>
      <c r="F24" s="18"/>
      <c r="G24" s="18"/>
      <c r="H24" s="5"/>
      <c r="I24" s="5"/>
      <c r="J24" s="5"/>
      <c r="K24" s="5"/>
      <c r="L24" s="5"/>
      <c r="M24" s="5"/>
      <c r="N24" s="5"/>
    </row>
    <row r="25" spans="1:14" ht="15">
      <c r="A25" s="5"/>
      <c r="B25" s="18"/>
      <c r="C25" s="18"/>
      <c r="D25" s="18"/>
      <c r="E25" s="18"/>
      <c r="F25" s="18"/>
      <c r="G25" s="18"/>
      <c r="H25" s="5"/>
      <c r="I25" s="5"/>
      <c r="J25" s="5"/>
      <c r="K25" s="5"/>
      <c r="L25" s="5"/>
      <c r="M25" s="5"/>
      <c r="N25" s="5"/>
    </row>
    <row r="26" spans="1:14" ht="15">
      <c r="A26" s="5"/>
      <c r="B26" s="18"/>
      <c r="C26" s="18"/>
      <c r="D26" s="18"/>
      <c r="E26" s="18"/>
      <c r="F26" s="18"/>
      <c r="G26" s="18"/>
      <c r="H26" s="5"/>
      <c r="I26" s="5"/>
      <c r="J26" s="5"/>
      <c r="K26" s="5"/>
      <c r="L26" s="5"/>
      <c r="M26" s="5"/>
      <c r="N26" s="5"/>
    </row>
    <row r="27" spans="1:14" ht="15">
      <c r="A27" s="5"/>
      <c r="B27" s="18"/>
      <c r="C27" s="18"/>
      <c r="D27" s="18"/>
      <c r="E27" s="18"/>
      <c r="F27" s="18"/>
      <c r="G27" s="18"/>
      <c r="H27" s="5"/>
      <c r="I27" s="5"/>
      <c r="J27" s="5"/>
      <c r="K27" s="5"/>
      <c r="L27" s="5"/>
      <c r="M27" s="5"/>
      <c r="N2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pane ySplit="1" topLeftCell="A21" activePane="bottomLeft" state="frozen"/>
      <selection pane="topLeft" activeCell="A1" sqref="A1"/>
      <selection pane="bottomLeft" activeCell="A1" sqref="A1:G43"/>
    </sheetView>
  </sheetViews>
  <sheetFormatPr defaultColWidth="9.140625" defaultRowHeight="15"/>
  <cols>
    <col min="1" max="1" width="27.421875" style="0" customWidth="1"/>
    <col min="2" max="7" width="13.00390625" style="0" customWidth="1"/>
  </cols>
  <sheetData>
    <row r="1" spans="1:7" ht="15">
      <c r="A1" s="5"/>
      <c r="B1" s="26">
        <v>2007</v>
      </c>
      <c r="C1" s="27">
        <v>2008</v>
      </c>
      <c r="D1" s="28">
        <v>2009</v>
      </c>
      <c r="E1" s="28">
        <v>2010</v>
      </c>
      <c r="F1" s="28">
        <v>2011</v>
      </c>
      <c r="G1" s="29">
        <v>2012</v>
      </c>
    </row>
    <row r="2" spans="1:9" ht="15">
      <c r="A2" s="5" t="s">
        <v>146</v>
      </c>
      <c r="B2" s="18">
        <f>+('Letna poročila'!C26)</f>
        <v>838902</v>
      </c>
      <c r="C2" s="18">
        <f>+('Letna poročila'!D26)</f>
        <v>927255</v>
      </c>
      <c r="D2" s="18">
        <f>+('Letna poročila'!E26)</f>
        <v>1862375</v>
      </c>
      <c r="E2" s="18">
        <f>+('Letna poročila'!F26)</f>
        <v>2394028</v>
      </c>
      <c r="F2" s="18">
        <f>+('Letna poročila'!G26)</f>
        <v>3206594</v>
      </c>
      <c r="G2" s="18">
        <f>+('Letna poročila'!H26)</f>
        <v>4024801</v>
      </c>
      <c r="H2" s="18"/>
      <c r="I2" s="5"/>
    </row>
    <row r="3" spans="1:9" ht="15">
      <c r="A3" s="5" t="s">
        <v>147</v>
      </c>
      <c r="B3" s="18">
        <f>+('Letna poročila'!C35+'Letna poročila'!C38+'Letna poročila'!C42+'Letna poročila'!C46)</f>
        <v>4299518</v>
      </c>
      <c r="C3" s="18">
        <f>+('Letna poročila'!D35+'Letna poročila'!D38+'Letna poročila'!D42+'Letna poročila'!D46)</f>
        <v>5287818</v>
      </c>
      <c r="D3" s="18">
        <f>+('Letna poročila'!E35+'Letna poročila'!E38+'Letna poročila'!E42+'Letna poročila'!E46)</f>
        <v>5617701</v>
      </c>
      <c r="E3" s="18">
        <f>+('Letna poročila'!F35+'Letna poročila'!F38+'Letna poročila'!F42+'Letna poročila'!F46)</f>
        <v>5168749</v>
      </c>
      <c r="F3" s="18">
        <f>+('Letna poročila'!G35+'Letna poročila'!G38+'Letna poročila'!G42+'Letna poročila'!G46)</f>
        <v>5593474</v>
      </c>
      <c r="G3" s="18">
        <f>+('Letna poročila'!H35+'Letna poročila'!H38+'Letna poročila'!H42+'Letna poročila'!H46)</f>
        <v>6034402</v>
      </c>
      <c r="H3" s="18"/>
      <c r="I3" s="5"/>
    </row>
    <row r="4" spans="1:9" ht="15">
      <c r="A4" s="5" t="s">
        <v>134</v>
      </c>
      <c r="B4" s="18">
        <f>+('Letna poročila'!C12)</f>
        <v>1592306</v>
      </c>
      <c r="C4" s="18">
        <f>+('Letna poročila'!D12)</f>
        <v>1649053</v>
      </c>
      <c r="D4" s="18">
        <f>+('Letna poročila'!E12)</f>
        <v>2407731</v>
      </c>
      <c r="E4" s="18">
        <f>+('Letna poročila'!F12)</f>
        <v>2444581</v>
      </c>
      <c r="F4" s="18">
        <f>+('Letna poročila'!G12)</f>
        <v>2761864</v>
      </c>
      <c r="G4" s="18">
        <f>+('Letna poročila'!H12)</f>
        <v>4506433</v>
      </c>
      <c r="H4" s="18"/>
      <c r="I4" s="5"/>
    </row>
    <row r="5" spans="1:9" ht="15">
      <c r="A5" s="5" t="s">
        <v>22</v>
      </c>
      <c r="B5" s="18">
        <f>+('Letna poročila'!C14)</f>
        <v>879493</v>
      </c>
      <c r="C5" s="18">
        <f>+('Letna poročila'!D14)</f>
        <v>1317715</v>
      </c>
      <c r="D5" s="18">
        <f>+('Letna poročila'!E14)</f>
        <v>1565294</v>
      </c>
      <c r="E5" s="18">
        <f>+('Letna poročila'!F14)</f>
        <v>1545188</v>
      </c>
      <c r="F5" s="18">
        <f>+('Letna poročila'!G14)</f>
        <v>1719229</v>
      </c>
      <c r="G5" s="18">
        <f>+('Letna poročila'!H14)</f>
        <v>2295016</v>
      </c>
      <c r="H5" s="18"/>
      <c r="I5" s="5"/>
    </row>
    <row r="6" spans="1:9" ht="15">
      <c r="A6" s="5" t="s">
        <v>156</v>
      </c>
      <c r="B6" s="18">
        <f>+(B4-B5)</f>
        <v>712813</v>
      </c>
      <c r="C6" s="18">
        <f>+(C4-C5)</f>
        <v>331338</v>
      </c>
      <c r="D6" s="18">
        <f>+(D4-D5)</f>
        <v>842437</v>
      </c>
      <c r="E6" s="18">
        <f>+(E4-E5)</f>
        <v>899393</v>
      </c>
      <c r="F6" s="18">
        <f>+(F4-F5)</f>
        <v>1042635</v>
      </c>
      <c r="G6" s="18">
        <f>+(G4-G5)</f>
        <v>2211417</v>
      </c>
      <c r="H6" s="18"/>
      <c r="I6" s="5"/>
    </row>
    <row r="7" spans="1:9" ht="15">
      <c r="A7" s="5" t="s">
        <v>157</v>
      </c>
      <c r="B7" s="18">
        <f>+('Letna poročila'!C19)</f>
        <v>422492</v>
      </c>
      <c r="C7" s="18">
        <f>+('Letna poročila'!D19)</f>
        <v>1878</v>
      </c>
      <c r="D7" s="18">
        <f>+('Letna poročila'!E19)</f>
        <v>76898</v>
      </c>
      <c r="E7" s="18">
        <f>+('Letna poročila'!F19)</f>
        <v>10709</v>
      </c>
      <c r="F7" s="18">
        <f>+('Letna poročila'!G19)</f>
        <v>77424</v>
      </c>
      <c r="G7" s="18">
        <f>+('Letna poročila'!H19)</f>
        <v>127943</v>
      </c>
      <c r="H7" s="18"/>
      <c r="I7" s="5"/>
    </row>
    <row r="8" spans="1:9" ht="15">
      <c r="A8" s="5" t="s">
        <v>172</v>
      </c>
      <c r="B8" s="18">
        <f>+('Letna poročila'!C42)</f>
        <v>2202797</v>
      </c>
      <c r="C8" s="18">
        <f>+('Letna poročila'!D42)</f>
        <v>2744168</v>
      </c>
      <c r="D8" s="18">
        <f>+('Letna poročila'!E42)</f>
        <v>2707366</v>
      </c>
      <c r="E8" s="18">
        <f>+('Letna poročila'!F42)</f>
        <v>2358820</v>
      </c>
      <c r="F8" s="18">
        <f>+('Letna poročila'!G42)</f>
        <v>2425070</v>
      </c>
      <c r="G8" s="18">
        <f>+('Letna poročila'!H42)</f>
        <v>3410360</v>
      </c>
      <c r="H8" s="18"/>
      <c r="I8" s="5"/>
    </row>
    <row r="9" spans="1:9" ht="15">
      <c r="A9" s="5" t="s">
        <v>158</v>
      </c>
      <c r="B9" s="18">
        <f>+('Letna poročila'!C56)</f>
        <v>3523830</v>
      </c>
      <c r="C9" s="18">
        <f>+('Letna poročila'!D56)</f>
        <v>5023745</v>
      </c>
      <c r="D9" s="18">
        <f>+('Letna poročila'!E56)</f>
        <v>6198508</v>
      </c>
      <c r="E9" s="18">
        <f>+('Letna poročila'!F56)</f>
        <v>7069624</v>
      </c>
      <c r="F9" s="18">
        <f>+('Letna poročila'!G56)</f>
        <v>8079206</v>
      </c>
      <c r="G9" s="18">
        <f>+('Letna poročila'!H56)</f>
        <v>9568281</v>
      </c>
      <c r="H9" s="18"/>
      <c r="I9" s="5"/>
    </row>
    <row r="10" spans="1:9" ht="15">
      <c r="A10" s="5" t="s">
        <v>159</v>
      </c>
      <c r="B10" s="18">
        <f>+('Letna poročila'!C81)</f>
        <v>290738</v>
      </c>
      <c r="C10" s="18">
        <f>+('Letna poročila'!D81)</f>
        <v>117458</v>
      </c>
      <c r="D10" s="18">
        <f>+('Letna poročila'!E81)</f>
        <v>1132464</v>
      </c>
      <c r="E10" s="18">
        <f>+('Letna poročila'!F81)</f>
        <v>601479</v>
      </c>
      <c r="F10" s="18">
        <f>+('Letna poročila'!G81)</f>
        <v>926698</v>
      </c>
      <c r="G10" s="18">
        <f>+('Letna poročila'!H81)</f>
        <v>877661</v>
      </c>
      <c r="H10" s="18"/>
      <c r="I10" s="5"/>
    </row>
    <row r="11" spans="1:9" ht="15">
      <c r="A11" s="5" t="s">
        <v>160</v>
      </c>
      <c r="B11" s="18">
        <f>+('Letna poročila'!C77)</f>
        <v>51739</v>
      </c>
      <c r="C11" s="18">
        <f>+('Letna poročila'!D77)</f>
        <v>172103</v>
      </c>
      <c r="D11" s="18">
        <f>+('Letna poročila'!E77)</f>
        <v>157998</v>
      </c>
      <c r="E11" s="18">
        <f>+('Letna poročila'!F77)</f>
        <v>347940</v>
      </c>
      <c r="F11" s="18">
        <f>+('Letna poročila'!G77)</f>
        <v>271463</v>
      </c>
      <c r="G11" s="18">
        <f>+('Letna poročila'!H77)</f>
        <v>133390</v>
      </c>
      <c r="H11" s="18"/>
      <c r="I11" s="5"/>
    </row>
    <row r="12" spans="1:9" ht="15">
      <c r="A12" s="5" t="s">
        <v>161</v>
      </c>
      <c r="B12" s="18">
        <f>+('Letna poročila'!C52)</f>
        <v>3446589</v>
      </c>
      <c r="C12" s="18">
        <f>+('Letna poročila'!D52)</f>
        <v>4507665</v>
      </c>
      <c r="D12" s="18">
        <f>+('Letna poročila'!E52)</f>
        <v>6684536</v>
      </c>
      <c r="E12" s="18">
        <f>+('Letna poročila'!F52)</f>
        <v>7187603</v>
      </c>
      <c r="F12" s="18">
        <f>+('Letna poročila'!G52)</f>
        <v>7722775</v>
      </c>
      <c r="G12" s="18">
        <f>+('Letna poročila'!H52)</f>
        <v>9190835</v>
      </c>
      <c r="H12" s="18"/>
      <c r="I12" s="5"/>
    </row>
    <row r="13" spans="1:9" ht="15">
      <c r="A13" s="5" t="s">
        <v>162</v>
      </c>
      <c r="B13" s="18">
        <f>+('Letna poročila'!C84)</f>
        <v>238427</v>
      </c>
      <c r="C13" s="18">
        <f>+('Letna poročila'!D84)</f>
        <v>88354</v>
      </c>
      <c r="D13" s="18">
        <f>+('Letna poročila'!E84)</f>
        <v>935120</v>
      </c>
      <c r="E13" s="18">
        <f>+('Letna poročila'!F84)</f>
        <v>531652</v>
      </c>
      <c r="F13" s="18">
        <f>+('Letna poročila'!G84)</f>
        <v>812565</v>
      </c>
      <c r="G13" s="18">
        <f>+('Letna poročila'!H84)</f>
        <v>818207</v>
      </c>
      <c r="H13" s="18"/>
      <c r="I13" s="5"/>
    </row>
    <row r="14" spans="1:9" ht="15">
      <c r="A14" s="5" t="s">
        <v>72</v>
      </c>
      <c r="B14" s="18">
        <f>+('Letna poročila'!C66)</f>
        <v>124112</v>
      </c>
      <c r="C14" s="18">
        <f>+('Letna poročila'!D66)</f>
        <v>205963</v>
      </c>
      <c r="D14" s="18">
        <f>+('Letna poročila'!E66)</f>
        <v>366468</v>
      </c>
      <c r="E14" s="18">
        <f>+('Letna poročila'!F66)</f>
        <v>604347</v>
      </c>
      <c r="F14" s="18">
        <f>+('Letna poročila'!G66)</f>
        <v>771797</v>
      </c>
      <c r="G14" s="18">
        <f>+('Letna poročila'!H66)</f>
        <v>832066</v>
      </c>
      <c r="H14" s="18"/>
      <c r="I14" s="5"/>
    </row>
    <row r="15" spans="1:9" ht="15">
      <c r="A15" s="5" t="s">
        <v>41</v>
      </c>
      <c r="B15" s="18">
        <f>+('Letna poročila'!C35)</f>
        <v>375563</v>
      </c>
      <c r="C15" s="18">
        <f>+('Letna poročila'!D35)</f>
        <v>375563</v>
      </c>
      <c r="D15" s="18">
        <f>+('Letna poročila'!E35)</f>
        <v>714634</v>
      </c>
      <c r="E15" s="18">
        <f>+('Letna poročila'!F35)</f>
        <v>900398</v>
      </c>
      <c r="F15" s="18">
        <f>+('Letna poročila'!G35)</f>
        <v>1056010</v>
      </c>
      <c r="G15" s="18">
        <f>+('Letna poročila'!H35)</f>
        <v>835473</v>
      </c>
      <c r="H15" s="18"/>
      <c r="I15" s="5"/>
    </row>
    <row r="16" spans="1:9" ht="15">
      <c r="A16" s="5" t="s">
        <v>163</v>
      </c>
      <c r="B16" s="18">
        <f>+('Letna poročila'!C46)</f>
        <v>8140</v>
      </c>
      <c r="C16" s="18">
        <f>+('Letna poročila'!D46)</f>
        <v>0</v>
      </c>
      <c r="D16" s="18">
        <f>+('Letna poročila'!E46)</f>
        <v>0</v>
      </c>
      <c r="E16" s="18">
        <f>+('Letna poročila'!F46)</f>
        <v>27058</v>
      </c>
      <c r="F16" s="18">
        <f>+('Letna poročila'!G46)</f>
        <v>34834</v>
      </c>
      <c r="G16" s="18">
        <f>+('Letna poročila'!H46)</f>
        <v>0</v>
      </c>
      <c r="H16" s="18"/>
      <c r="I16" s="5"/>
    </row>
    <row r="17" spans="1:9" ht="15">
      <c r="A17" s="5" t="s">
        <v>164</v>
      </c>
      <c r="B17" s="18">
        <f>+('Letna poročila'!C20)</f>
        <v>29876</v>
      </c>
      <c r="C17" s="18">
        <f>+('Letna poročila'!D20)</f>
        <v>28284</v>
      </c>
      <c r="D17" s="18">
        <f>+('Letna poročila'!E20)</f>
        <v>44376</v>
      </c>
      <c r="E17" s="18">
        <f>+('Letna poročila'!F20)</f>
        <v>51561</v>
      </c>
      <c r="F17" s="18">
        <f>+('Letna poročila'!G20)</f>
        <v>398828</v>
      </c>
      <c r="G17" s="18">
        <f>+('Letna poročila'!H20)</f>
        <v>39753</v>
      </c>
      <c r="H17" s="18"/>
      <c r="I17" s="5"/>
    </row>
    <row r="18" spans="1:9" ht="15">
      <c r="A18" s="5" t="s">
        <v>165</v>
      </c>
      <c r="B18" s="18">
        <f>+('Letna poročila'!C33)</f>
        <v>527102</v>
      </c>
      <c r="C18" s="18">
        <f>+('Letna poročila'!D33)</f>
        <v>765527</v>
      </c>
      <c r="D18" s="18">
        <f>+('Letna poročila'!E33)</f>
        <v>853881</v>
      </c>
      <c r="E18" s="18">
        <f>+('Letna poročila'!F33)</f>
        <v>1789002</v>
      </c>
      <c r="F18" s="18">
        <f>+('Letna poročila'!G33)</f>
        <v>2320654</v>
      </c>
      <c r="G18" s="18">
        <f>+('Letna poročila'!H33)</f>
        <v>3133220</v>
      </c>
      <c r="H18" s="18"/>
      <c r="I18" s="5"/>
    </row>
    <row r="19" spans="1:9" ht="15">
      <c r="A19" s="5" t="s">
        <v>166</v>
      </c>
      <c r="B19" s="18">
        <f>+(B13+B14+B15+B16-B17+B18)</f>
        <v>1243468</v>
      </c>
      <c r="C19" s="18">
        <f>+(C13+C14+C15+C16-C17+C18)</f>
        <v>1407123</v>
      </c>
      <c r="D19" s="18">
        <f>+(D13+D14+D15+D16-D17+D18)</f>
        <v>2825727</v>
      </c>
      <c r="E19" s="18">
        <f>+(E13+E14+E15+E16-E17+E18)</f>
        <v>3800896</v>
      </c>
      <c r="F19" s="18">
        <f>+(F13+F14+F15+F16-F17+F18)</f>
        <v>4597032</v>
      </c>
      <c r="G19" s="18">
        <f>+(G13+G14+G15+G16-G17+G18)</f>
        <v>5579213</v>
      </c>
      <c r="H19" s="18"/>
      <c r="I19" s="5"/>
    </row>
    <row r="20" spans="1:9" ht="15">
      <c r="A20" s="5" t="s">
        <v>167</v>
      </c>
      <c r="B20" s="18">
        <f>+(B19-B5)</f>
        <v>363975</v>
      </c>
      <c r="C20" s="18">
        <f>+(C19-C5)</f>
        <v>89408</v>
      </c>
      <c r="D20" s="18">
        <f>+(D19-D5)</f>
        <v>1260433</v>
      </c>
      <c r="E20" s="18">
        <f>+(E19-E5)</f>
        <v>2255708</v>
      </c>
      <c r="F20" s="18">
        <f>+(F19-F5)</f>
        <v>2877803</v>
      </c>
      <c r="G20" s="18">
        <f>+(G19-G5)</f>
        <v>3284197</v>
      </c>
      <c r="H20" s="18"/>
      <c r="I20" s="5"/>
    </row>
    <row r="21" spans="1:9" ht="15">
      <c r="A21" s="5" t="s">
        <v>168</v>
      </c>
      <c r="B21" s="18">
        <f>+('Letna poročila'!C58)</f>
        <v>1739251</v>
      </c>
      <c r="C21" s="18">
        <f>+('Letna poročila'!D58)</f>
        <v>3012978</v>
      </c>
      <c r="D21" s="18">
        <f>+('Letna poročila'!E58)</f>
        <v>3331644</v>
      </c>
      <c r="E21" s="18">
        <f>+('Letna poročila'!F58)</f>
        <v>3874402</v>
      </c>
      <c r="F21" s="18">
        <f>+('Letna poročila'!G58)</f>
        <v>3962593</v>
      </c>
      <c r="G21" s="18">
        <f>+('Letna poročila'!H58)</f>
        <v>5091099</v>
      </c>
      <c r="H21" s="18"/>
      <c r="I21" s="5"/>
    </row>
    <row r="22" spans="1:9" ht="15">
      <c r="A22" s="5" t="s">
        <v>169</v>
      </c>
      <c r="B22" s="18">
        <f>+('Letna poročila'!C45)</f>
        <v>2142797</v>
      </c>
      <c r="C22" s="18">
        <f>+('Letna poročila'!D45)</f>
        <v>2474168</v>
      </c>
      <c r="D22" s="18">
        <f>+('Letna poročila'!E45)</f>
        <v>2372366</v>
      </c>
      <c r="E22" s="18">
        <f>+('Letna poročila'!F45)</f>
        <v>1550534</v>
      </c>
      <c r="F22" s="18">
        <f>+('Letna poročila'!G45)</f>
        <v>1964026</v>
      </c>
      <c r="G22" s="18">
        <f>+('Letna poročila'!H45)</f>
        <v>2891387</v>
      </c>
      <c r="H22" s="18"/>
      <c r="I22" s="5"/>
    </row>
    <row r="23" spans="1:9" ht="15">
      <c r="A23" s="5"/>
      <c r="B23" s="18"/>
      <c r="C23" s="18"/>
      <c r="D23" s="18"/>
      <c r="E23" s="18"/>
      <c r="F23" s="18"/>
      <c r="G23" s="18"/>
      <c r="H23" s="18"/>
      <c r="I23" s="5"/>
    </row>
    <row r="24" spans="1:9" ht="15">
      <c r="A24" s="27" t="s">
        <v>170</v>
      </c>
      <c r="B24" s="18"/>
      <c r="C24" s="18"/>
      <c r="D24" s="18"/>
      <c r="E24" s="18"/>
      <c r="F24" s="18"/>
      <c r="G24" s="18"/>
      <c r="H24" s="18"/>
      <c r="I24" s="5"/>
    </row>
    <row r="25" spans="1:9" ht="15">
      <c r="A25" s="5" t="s">
        <v>148</v>
      </c>
      <c r="B25" s="50">
        <f>+(B2/B3)</f>
        <v>0.1951153594426166</v>
      </c>
      <c r="C25" s="50">
        <f>+(C2/C3)</f>
        <v>0.17535682960343946</v>
      </c>
      <c r="D25" s="50">
        <f>+(D2/D3)</f>
        <v>0.33151906803156667</v>
      </c>
      <c r="E25" s="50">
        <f>+(E2/E3)</f>
        <v>0.46317358416901266</v>
      </c>
      <c r="F25" s="50">
        <f>+(F2/F3)</f>
        <v>0.5732741405430686</v>
      </c>
      <c r="G25" s="50">
        <f>+(G2/G3)</f>
        <v>0.6669759489009848</v>
      </c>
      <c r="H25" s="18"/>
      <c r="I25" s="5"/>
    </row>
    <row r="26" spans="1:9" ht="15">
      <c r="A26" s="5" t="s">
        <v>149</v>
      </c>
      <c r="B26" s="50">
        <f>+(B6/B2)</f>
        <v>0.8496975808854907</v>
      </c>
      <c r="C26" s="50">
        <f>+(C6/C2)</f>
        <v>0.3573321254671045</v>
      </c>
      <c r="D26" s="50">
        <f>+(D6/D2)</f>
        <v>0.4523455265454057</v>
      </c>
      <c r="E26" s="50">
        <f>+(E6/E2)</f>
        <v>0.37568190514062494</v>
      </c>
      <c r="F26" s="50">
        <f>+(F6/F2)</f>
        <v>0.32515341823754423</v>
      </c>
      <c r="G26" s="50">
        <f>+(G6/G2)</f>
        <v>0.5494475379031162</v>
      </c>
      <c r="H26" s="18"/>
      <c r="I26" s="5"/>
    </row>
    <row r="27" spans="1:9" ht="15">
      <c r="A27" s="5" t="s">
        <v>150</v>
      </c>
      <c r="B27" s="50">
        <f>+(B7-B8)/B9</f>
        <v>-0.5052187534585948</v>
      </c>
      <c r="C27" s="50">
        <f>+(C7-C8)/C9</f>
        <v>-0.5458656838673142</v>
      </c>
      <c r="D27" s="50">
        <f>+(D7-D8)/D9</f>
        <v>-0.42437115512313606</v>
      </c>
      <c r="E27" s="50">
        <f>+(E7-E8)/E9</f>
        <v>-0.3321408606737784</v>
      </c>
      <c r="F27" s="50">
        <f>+(F7-F8)/F9</f>
        <v>-0.290578801926823</v>
      </c>
      <c r="G27" s="50">
        <f>+(G7-G8)/G9</f>
        <v>-0.3430519024263606</v>
      </c>
      <c r="H27" s="18"/>
      <c r="I27" s="5"/>
    </row>
    <row r="28" spans="1:9" ht="15">
      <c r="A28" s="5" t="s">
        <v>151</v>
      </c>
      <c r="B28" s="50">
        <f>+(B10+B11)/B2</f>
        <v>0.40824434796913106</v>
      </c>
      <c r="C28" s="50">
        <f>+(C10+C11)/C2</f>
        <v>0.3122776366803091</v>
      </c>
      <c r="D28" s="50">
        <f>+(D10+D11)/D2</f>
        <v>0.692912007517283</v>
      </c>
      <c r="E28" s="50">
        <f>+(E10+E11)/E2</f>
        <v>0.3965780684269357</v>
      </c>
      <c r="F28" s="50">
        <f>+(F10+F11)/F2</f>
        <v>0.373655348946577</v>
      </c>
      <c r="G28" s="50">
        <f>+(G10+G11)/G2</f>
        <v>0.25120521486652386</v>
      </c>
      <c r="H28" s="18"/>
      <c r="I28" s="5"/>
    </row>
    <row r="29" spans="1:9" ht="15">
      <c r="A29" s="5" t="s">
        <v>152</v>
      </c>
      <c r="B29" s="50">
        <f>+(B12/B2)</f>
        <v>4.1084524771665825</v>
      </c>
      <c r="C29" s="50">
        <f>+(C12/C2)</f>
        <v>4.861300289564359</v>
      </c>
      <c r="D29" s="50">
        <f>+(D12/D2)</f>
        <v>3.589253506946775</v>
      </c>
      <c r="E29" s="50">
        <f>+(E12/E2)</f>
        <v>3.0023053197372795</v>
      </c>
      <c r="F29" s="50">
        <f>+(F12/F2)</f>
        <v>2.4084043692466213</v>
      </c>
      <c r="G29" s="50">
        <f>+(G12/G2)</f>
        <v>2.2835501680704215</v>
      </c>
      <c r="H29" s="18"/>
      <c r="I29" s="5"/>
    </row>
    <row r="30" spans="1:9" ht="15">
      <c r="A30" s="5" t="s">
        <v>153</v>
      </c>
      <c r="B30" s="50">
        <f>+(B3/B19)</f>
        <v>3.4576828675928932</v>
      </c>
      <c r="C30" s="50">
        <f>+(C3/C19)</f>
        <v>3.757893233214154</v>
      </c>
      <c r="D30" s="50">
        <f>+(D3/D19)</f>
        <v>1.9880551093576981</v>
      </c>
      <c r="E30" s="50">
        <f>+(E3/E19)</f>
        <v>1.3598764607082119</v>
      </c>
      <c r="F30" s="50">
        <f>+(F3/F19)</f>
        <v>1.2167576819130257</v>
      </c>
      <c r="G30" s="50">
        <f>+(G3/G19)</f>
        <v>1.0815865965325218</v>
      </c>
      <c r="H30" s="18"/>
      <c r="I30" s="5"/>
    </row>
    <row r="31" spans="1:9" ht="15">
      <c r="A31" s="5" t="s">
        <v>154</v>
      </c>
      <c r="B31" s="50">
        <f>+(B3-B7)/B20</f>
        <v>10.651901916340409</v>
      </c>
      <c r="C31" s="50">
        <f>+(C3-C7)/C20</f>
        <v>59.12155511811024</v>
      </c>
      <c r="D31" s="50">
        <f>+(D3-D7)/D20</f>
        <v>4.395952026010109</v>
      </c>
      <c r="E31" s="50">
        <f>+(E3-E7)/E20</f>
        <v>2.2866612167886977</v>
      </c>
      <c r="F31" s="50">
        <f>+(F3-F7)/F20</f>
        <v>1.9167573318951991</v>
      </c>
      <c r="G31" s="50">
        <f>+(G3-G7)/G20</f>
        <v>1.798448448738002</v>
      </c>
      <c r="H31" s="18"/>
      <c r="I31" s="5"/>
    </row>
    <row r="32" spans="1:9" ht="15">
      <c r="A32" s="5" t="s">
        <v>155</v>
      </c>
      <c r="B32" s="50">
        <f>+(B22/B21)</f>
        <v>1.2320228650148828</v>
      </c>
      <c r="C32" s="50">
        <f>+(C22/C21)</f>
        <v>0.8211702840180047</v>
      </c>
      <c r="D32" s="50">
        <f>+(D22/D21)</f>
        <v>0.7120706774193161</v>
      </c>
      <c r="E32" s="50">
        <f>+(E22/E21)</f>
        <v>0.40019956628145453</v>
      </c>
      <c r="F32" s="50">
        <f>+(F22/F21)</f>
        <v>0.49564161648698213</v>
      </c>
      <c r="G32" s="50">
        <f>+(G22/G21)</f>
        <v>0.5679298320460867</v>
      </c>
      <c r="H32" s="18"/>
      <c r="I32" s="5"/>
    </row>
    <row r="33" spans="1:9" ht="15">
      <c r="A33" s="5"/>
      <c r="B33" s="18"/>
      <c r="C33" s="18"/>
      <c r="D33" s="18"/>
      <c r="E33" s="18"/>
      <c r="F33" s="18"/>
      <c r="G33" s="18"/>
      <c r="H33" s="18"/>
      <c r="I33" s="5"/>
    </row>
    <row r="34" spans="1:9" ht="15">
      <c r="A34" s="27" t="s">
        <v>171</v>
      </c>
      <c r="B34" s="18"/>
      <c r="C34" s="18"/>
      <c r="D34" s="18"/>
      <c r="E34" s="18"/>
      <c r="F34" s="18"/>
      <c r="G34" s="18"/>
      <c r="H34" s="18"/>
      <c r="I34" s="5"/>
    </row>
    <row r="35" spans="1:8" ht="15">
      <c r="A35" s="5" t="s">
        <v>148</v>
      </c>
      <c r="B35" s="1">
        <f>+IF(B25&gt;0.43,1,IF(B25&gt;0.121,2,IF(B25&gt;0.085,3,IF(B25&gt;-0.047,4,IF(B25&lt;0.047,5,0)))))</f>
        <v>2</v>
      </c>
      <c r="C35" s="1">
        <f>+IF(C25&gt;0.43,1,IF(C25&gt;0.121,2,IF(C25&gt;0.085,3,IF(C25&gt;-0.047,4,IF(C25&lt;0.047,5,0)))))</f>
        <v>2</v>
      </c>
      <c r="D35" s="1">
        <f>+IF(D25&gt;0.43,1,IF(D25&gt;0.121,2,IF(D25&gt;0.085,3,IF(D25&gt;-0.047,4,IF(D25&lt;0.047,5,0)))))</f>
        <v>2</v>
      </c>
      <c r="E35" s="1">
        <f>+IF(E25&gt;0.43,1,IF(E25&gt;0.121,2,IF(E25&gt;0.085,3,IF(E25&gt;-0.047,4,IF(E25&lt;0.047,5,0)))))</f>
        <v>1</v>
      </c>
      <c r="F35" s="1">
        <f>+IF(F25&gt;0.43,1,IF(F25&gt;0.121,2,IF(F25&gt;0.085,3,IF(F25&gt;-0.047,4,IF(F25&lt;0.047,5,0)))))</f>
        <v>1</v>
      </c>
      <c r="G35" s="1">
        <f>+IF(G25&gt;0.43,1,IF(G25&gt;0.121,2,IF(G25&gt;0.085,3,IF(G25&gt;-0.047,4,IF(G25&lt;0.047,5,0)))))</f>
        <v>1</v>
      </c>
      <c r="H35" s="1"/>
    </row>
    <row r="36" spans="1:7" ht="15">
      <c r="A36" s="5" t="s">
        <v>149</v>
      </c>
      <c r="B36" s="1">
        <f>+IF(B26&gt;0.075,1,IF(B26&gt;0.002,2,IF(B26&gt;0.009,3,IF(B26&gt;0.002,4,IF(B26&lt;0.002,5,0)))))</f>
        <v>1</v>
      </c>
      <c r="C36" s="1">
        <f>+IF(C26&gt;0.075,1,IF(C26&gt;0.002,2,IF(C26&gt;0.009,3,IF(C26&gt;0.002,4,IF(C26&lt;0.002,5,0)))))</f>
        <v>1</v>
      </c>
      <c r="D36" s="1">
        <f>+IF(D26&gt;0.075,1,IF(D26&gt;0.002,2,IF(D26&gt;0.009,3,IF(D26&gt;0.002,4,IF(D26&lt;0.002,5,0)))))</f>
        <v>1</v>
      </c>
      <c r="E36" s="1">
        <f>+IF(E26&gt;0.075,1,IF(E26&gt;0.002,2,IF(E26&gt;0.009,3,IF(E26&gt;0.002,4,IF(E26&lt;0.002,5,0)))))</f>
        <v>1</v>
      </c>
      <c r="F36" s="1">
        <f>+IF(F26&gt;0.075,1,IF(F26&gt;0.002,2,IF(F26&gt;0.009,3,IF(F26&gt;0.002,4,IF(F26&lt;0.002,5,0)))))</f>
        <v>1</v>
      </c>
      <c r="G36" s="1">
        <f>+IF(G26&gt;0.075,1,IF(G26&gt;0.002,2,IF(G26&gt;0.009,3,IF(G26&gt;0.002,4,IF(G26&lt;0.002,5,0)))))</f>
        <v>1</v>
      </c>
    </row>
    <row r="37" spans="1:7" ht="15">
      <c r="A37" s="5" t="s">
        <v>150</v>
      </c>
      <c r="B37" s="1">
        <f>+IF(B27&gt;-0.088,1,IF(B27&gt;-0.293,2,IF(B27&gt;-0.462,3,IF(B27&gt;-0.899,4,IF(B27&lt;-0.0899,5,0)))))</f>
        <v>4</v>
      </c>
      <c r="C37" s="1">
        <f>+IF(C27&gt;-0.088,1,IF(C27&gt;-0.293,2,IF(C27&gt;-0.462,3,IF(C27&gt;-0.899,4,IF(C27&lt;-0.0899,5,0)))))</f>
        <v>4</v>
      </c>
      <c r="D37" s="1">
        <f>+IF(D27&gt;-0.088,1,IF(D27&gt;-0.293,2,IF(D27&gt;-0.462,3,IF(D27&gt;-0.899,4,IF(D27&lt;-0.0899,5,0)))))</f>
        <v>3</v>
      </c>
      <c r="E37" s="1">
        <f>+IF(E27&gt;-0.088,1,IF(E27&gt;-0.293,2,IF(E27&gt;-0.462,3,IF(E27&gt;-0.899,4,IF(E27&lt;-0.0899,5,0)))))</f>
        <v>3</v>
      </c>
      <c r="F37" s="1">
        <f>+IF(F27&gt;-0.088,1,IF(F27&gt;-0.293,2,IF(F27&gt;-0.462,3,IF(F27&gt;-0.899,4,IF(F27&lt;-0.0899,5,0)))))</f>
        <v>2</v>
      </c>
      <c r="G37" s="1">
        <f>+IF(G27&gt;-0.088,1,IF(G27&gt;-0.293,2,IF(G27&gt;-0.462,3,IF(G27&gt;-0.899,4,IF(G27&lt;-0.0899,5,0)))))</f>
        <v>3</v>
      </c>
    </row>
    <row r="38" spans="1:7" ht="15">
      <c r="A38" s="5" t="s">
        <v>151</v>
      </c>
      <c r="B38" s="1">
        <f>+IF(B28&gt;0.213,1,IF(B28&gt;0.0072,2,IF(B28&gt;0.043,3,IF(B28&gt;0.009,4,IF(B28&lt;0.009,5,0)))))</f>
        <v>1</v>
      </c>
      <c r="C38" s="1">
        <f>+IF(C28&gt;0.213,1,IF(C28&gt;0.0072,2,IF(C28&gt;0.043,3,IF(C28&gt;0.009,4,IF(C28&lt;0.009,5,0)))))</f>
        <v>1</v>
      </c>
      <c r="D38" s="1">
        <f>+IF(D28&gt;0.213,1,IF(D28&gt;0.0072,2,IF(D28&gt;0.043,3,IF(D28&gt;0.009,4,IF(D28&lt;0.009,5,0)))))</f>
        <v>1</v>
      </c>
      <c r="E38" s="1">
        <f>+IF(E28&gt;0.213,1,IF(E28&gt;0.0072,2,IF(E28&gt;0.043,3,IF(E28&gt;0.009,4,IF(E28&lt;0.009,5,0)))))</f>
        <v>1</v>
      </c>
      <c r="F38" s="1">
        <f>+IF(F28&gt;0.213,1,IF(F28&gt;0.0072,2,IF(F28&gt;0.043,3,IF(F28&gt;0.009,4,IF(F28&lt;0.009,5,0)))))</f>
        <v>1</v>
      </c>
      <c r="G38" s="1">
        <f>+IF(G28&gt;0.213,1,IF(G28&gt;0.0072,2,IF(G28&gt;0.043,3,IF(G28&gt;0.009,4,IF(G28&lt;0.009,5,0)))))</f>
        <v>1</v>
      </c>
    </row>
    <row r="39" spans="1:7" ht="15">
      <c r="A39" s="5" t="s">
        <v>152</v>
      </c>
      <c r="B39" s="1">
        <f>+IF(B29&gt;2.574,1,IF(B29&gt;2.007,2,IF(B29&gt;0.907,3,IF(B29&gt;0.621,4,IF(B29&lt;0.6215,0)))))</f>
        <v>1</v>
      </c>
      <c r="C39" s="1">
        <f>+IF(C29&gt;2.574,1,IF(C29&gt;2.007,2,IF(C29&gt;0.907,3,IF(C29&gt;0.621,4,IF(C29&lt;0.6215,0)))))</f>
        <v>1</v>
      </c>
      <c r="D39" s="1">
        <f>+IF(D29&gt;2.574,1,IF(D29&gt;2.007,2,IF(D29&gt;0.907,3,IF(D29&gt;0.621,4,IF(D29&lt;0.6215,0)))))</f>
        <v>1</v>
      </c>
      <c r="E39" s="1">
        <f>+IF(E29&gt;2.574,1,IF(E29&gt;2.007,2,IF(E29&gt;0.907,3,IF(E29&gt;0.621,4,IF(E29&lt;0.6215,0)))))</f>
        <v>1</v>
      </c>
      <c r="F39" s="1">
        <f>+IF(F29&gt;2.574,1,IF(F29&gt;2.007,2,IF(F29&gt;0.907,3,IF(F29&gt;0.621,4,IF(F29&lt;0.6215,0)))))</f>
        <v>2</v>
      </c>
      <c r="G39" s="1">
        <f>+IF(G29&gt;2.574,1,IF(G29&gt;2.007,2,IF(G29&gt;0.907,3,IF(G29&gt;0.621,4,IF(G29&lt;0.6215,0)))))</f>
        <v>2</v>
      </c>
    </row>
    <row r="40" spans="1:7" ht="15">
      <c r="A40" s="5" t="s">
        <v>153</v>
      </c>
      <c r="B40" s="1">
        <f>+IF(B30&lt;2.849,1,IF(B30&lt;12.103,2,IF(B30&lt;14.517,3,IF(B30&lt;99.899,4,IF(B30&gt;99.9,0)))))</f>
        <v>2</v>
      </c>
      <c r="C40" s="1">
        <f>+IF(C30&lt;2.849,1,IF(C30&lt;12.103,2,IF(C30&lt;14.517,3,IF(C30&lt;99.899,4,IF(C30&gt;99.9,0)))))</f>
        <v>2</v>
      </c>
      <c r="D40" s="1">
        <f>+IF(D30&lt;2.849,1,IF(D30&lt;12.103,2,IF(D30&lt;14.517,3,IF(D30&lt;99.899,4,IF(D30&gt;99.9,0)))))</f>
        <v>1</v>
      </c>
      <c r="E40" s="1">
        <f>+IF(E30&lt;2.849,1,IF(E30&lt;12.103,2,IF(E30&lt;14.517,3,IF(E30&lt;99.899,4,IF(E30&gt;99.9,0)))))</f>
        <v>1</v>
      </c>
      <c r="F40" s="1">
        <f>+IF(F30&lt;2.849,1,IF(F30&lt;12.103,2,IF(F30&lt;14.517,3,IF(F30&lt;99.899,4,IF(F30&gt;99.9,0)))))</f>
        <v>1</v>
      </c>
      <c r="G40" s="1">
        <f>+IF(G30&lt;2.849,1,IF(G30&lt;12.103,2,IF(G30&lt;14.517,3,IF(G30&lt;99.899,4,IF(G30&gt;99.9,0)))))</f>
        <v>1</v>
      </c>
    </row>
    <row r="41" spans="1:7" ht="15">
      <c r="A41" s="5" t="s">
        <v>154</v>
      </c>
      <c r="B41" s="1">
        <f>+IF(B31&lt;1.653,1,IF(B31&lt;11.683,2,IF(B31&lt;12.312,3,IF(B31&lt;99.899,4,IF(B31&gt;99.9,0)))))</f>
        <v>2</v>
      </c>
      <c r="C41" s="1">
        <f>+IF(C31&lt;1.653,1,IF(C31&lt;11.683,2,IF(C31&lt;12.312,3,IF(C31&lt;99.899,4,IF(C31&gt;99.9,0)))))</f>
        <v>4</v>
      </c>
      <c r="D41" s="1">
        <f>+IF(D31&lt;1.653,1,IF(D31&lt;11.683,2,IF(D31&lt;12.312,3,IF(D31&lt;99.899,4,IF(D31&gt;99.9,0)))))</f>
        <v>2</v>
      </c>
      <c r="E41" s="1">
        <f>+IF(E31&lt;1.653,1,IF(E31&lt;11.683,2,IF(E31&lt;12.312,3,IF(E31&lt;99.899,4,IF(E31&gt;99.9,0)))))</f>
        <v>2</v>
      </c>
      <c r="F41" s="1">
        <f>+IF(F31&lt;1.653,1,IF(F31&lt;11.683,2,IF(F31&lt;12.312,3,IF(F31&lt;99.899,4,IF(F31&gt;99.9,0)))))</f>
        <v>2</v>
      </c>
      <c r="G41" s="1">
        <f>+IF(G31&lt;1.653,1,IF(G31&lt;11.683,2,IF(G31&lt;12.312,3,IF(G31&lt;99.899,4,IF(G31&gt;99.9,5)))))</f>
        <v>2</v>
      </c>
    </row>
    <row r="42" spans="1:7" ht="15">
      <c r="A42" s="5" t="s">
        <v>155</v>
      </c>
      <c r="B42" s="1">
        <f>+IF(B32&lt;0.097,1,IF(B32&lt;0.278,2,IF(B32&lt;0.479,3,IF(B32&lt;0.799,4,IF(B32&gt;0.799,5)))))</f>
        <v>5</v>
      </c>
      <c r="C42" s="1">
        <f>+IF(C32&lt;0.097,1,IF(C32&lt;0.278,2,IF(C32&lt;0.479,3,IF(C32&lt;0.799,4,IF(C32&gt;0.799,5)))))</f>
        <v>5</v>
      </c>
      <c r="D42" s="1">
        <f>+IF(D32&lt;0.097,1,IF(D32&lt;0.278,2,IF(D32&lt;0.479,3,IF(D32&lt;0.799,4,IF(D32&gt;0.799,5)))))</f>
        <v>4</v>
      </c>
      <c r="E42" s="1">
        <f>+IF(E32&lt;0.097,1,IF(E32&lt;0.278,2,IF(E32&lt;0.479,3,IF(E32&lt;0.799,4,IF(E32&gt;0.799,5)))))</f>
        <v>3</v>
      </c>
      <c r="F42" s="1">
        <f>+IF(F32&lt;0.097,1,IF(F32&lt;0.278,2,IF(F32&lt;0.479,3,IF(F32&lt;0.799,4,IF(F32&gt;0.799,5)))))</f>
        <v>4</v>
      </c>
      <c r="G42" s="1">
        <f>+IF(G32&lt;0.097,1,IF(G32&lt;0.278,2,IF(G32&lt;0.479,3,IF(G32&lt;0.799,4,IF(G32&gt;0.799,5)))))</f>
        <v>4</v>
      </c>
    </row>
    <row r="43" spans="2:7" ht="15">
      <c r="B43" s="1">
        <f>+SUM(B35:B42)</f>
        <v>18</v>
      </c>
      <c r="C43" s="1">
        <f>+SUM(C35:C42)</f>
        <v>20</v>
      </c>
      <c r="D43" s="1">
        <f>+SUM(D35:D42)</f>
        <v>15</v>
      </c>
      <c r="E43" s="1">
        <f>+SUM(E35:E42)</f>
        <v>13</v>
      </c>
      <c r="F43" s="1">
        <f>+SUM(F35:F42)</f>
        <v>14</v>
      </c>
      <c r="G43" s="1">
        <f>+SUM(G35:G42)</f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G13"/>
    </sheetView>
  </sheetViews>
  <sheetFormatPr defaultColWidth="9.140625" defaultRowHeight="15"/>
  <cols>
    <col min="1" max="1" width="37.28125" style="0" customWidth="1"/>
    <col min="2" max="6" width="12.57421875" style="0" customWidth="1"/>
    <col min="7" max="7" width="13.7109375" style="0" customWidth="1"/>
  </cols>
  <sheetData>
    <row r="1" spans="1:11" ht="15">
      <c r="A1" s="5"/>
      <c r="B1" s="26">
        <v>2007</v>
      </c>
      <c r="C1" s="27">
        <v>2008</v>
      </c>
      <c r="D1" s="28">
        <v>2009</v>
      </c>
      <c r="E1" s="28">
        <v>2010</v>
      </c>
      <c r="F1" s="28">
        <v>2011</v>
      </c>
      <c r="G1" s="29">
        <v>2012</v>
      </c>
      <c r="H1" s="5"/>
      <c r="I1" s="5"/>
      <c r="J1" s="5"/>
      <c r="K1" s="5"/>
    </row>
    <row r="2" spans="1:11" ht="15">
      <c r="A2" s="5" t="s">
        <v>162</v>
      </c>
      <c r="B2" s="18">
        <f>+('Letna poročila'!C84)</f>
        <v>238427</v>
      </c>
      <c r="C2" s="18">
        <f>+('Letna poročila'!D84)</f>
        <v>88354</v>
      </c>
      <c r="D2" s="18">
        <f>+('Letna poročila'!E84)</f>
        <v>935120</v>
      </c>
      <c r="E2" s="18">
        <f>+('Letna poročila'!F84)</f>
        <v>531652</v>
      </c>
      <c r="F2" s="18">
        <f>+('Letna poročila'!G84)</f>
        <v>812565</v>
      </c>
      <c r="G2" s="18">
        <f>+('Letna poročila'!H84)</f>
        <v>818207</v>
      </c>
      <c r="H2" s="18"/>
      <c r="I2" s="18"/>
      <c r="J2" s="18"/>
      <c r="K2" s="5"/>
    </row>
    <row r="3" spans="1:11" ht="15">
      <c r="A3" s="5" t="s">
        <v>180</v>
      </c>
      <c r="B3" s="18">
        <f>+('Letna poročila'!C81)</f>
        <v>290738</v>
      </c>
      <c r="C3" s="18">
        <f>+('Letna poročila'!D81)</f>
        <v>117458</v>
      </c>
      <c r="D3" s="18">
        <f>+('Letna poročila'!E81)</f>
        <v>1132464</v>
      </c>
      <c r="E3" s="18">
        <f>+('Letna poročila'!F81)</f>
        <v>601479</v>
      </c>
      <c r="F3" s="18">
        <f>+('Letna poročila'!G81)</f>
        <v>926698</v>
      </c>
      <c r="G3" s="18">
        <f>+('Letna poročila'!H81)</f>
        <v>877661</v>
      </c>
      <c r="H3" s="18"/>
      <c r="I3" s="18"/>
      <c r="J3" s="18"/>
      <c r="K3" s="5"/>
    </row>
    <row r="4" spans="1:11" ht="15">
      <c r="A4" s="5" t="s">
        <v>173</v>
      </c>
      <c r="B4" s="18">
        <f>+('Letna poročila'!C70)</f>
        <v>295204</v>
      </c>
      <c r="C4" s="18">
        <f>+('Letna poročila'!D70)</f>
        <v>188967</v>
      </c>
      <c r="D4" s="18">
        <f>+('Letna poročila'!E70)</f>
        <v>1161174</v>
      </c>
      <c r="E4" s="18">
        <f>+('Letna poročila'!F70)</f>
        <v>856570</v>
      </c>
      <c r="F4" s="18">
        <f>+('Letna poročila'!G70)</f>
        <v>1076303</v>
      </c>
      <c r="G4" s="18">
        <f>+('Letna poročila'!H70)</f>
        <v>996019</v>
      </c>
      <c r="H4" s="18"/>
      <c r="I4" s="18"/>
      <c r="J4" s="18"/>
      <c r="K4" s="5"/>
    </row>
    <row r="5" spans="1:11" ht="15">
      <c r="A5" s="5" t="s">
        <v>174</v>
      </c>
      <c r="B5" s="18">
        <f>+('Letna poročila'!C52)</f>
        <v>3446589</v>
      </c>
      <c r="C5" s="18">
        <f>+('Letna poročila'!D52)</f>
        <v>4507665</v>
      </c>
      <c r="D5" s="18">
        <f>+('Letna poročila'!E52)</f>
        <v>6684536</v>
      </c>
      <c r="E5" s="18">
        <f>+('Letna poročila'!F52)</f>
        <v>7187603</v>
      </c>
      <c r="F5" s="18">
        <f>+('Letna poročila'!G52)</f>
        <v>7722775</v>
      </c>
      <c r="G5" s="18">
        <f>+('Letna poročila'!H52)</f>
        <v>9190835</v>
      </c>
      <c r="H5" s="18"/>
      <c r="I5" s="18"/>
      <c r="J5" s="18"/>
      <c r="K5" s="5"/>
    </row>
    <row r="6" spans="1:11" ht="15">
      <c r="A6" s="5" t="s">
        <v>175</v>
      </c>
      <c r="B6" s="18">
        <f>+('Letna poročila'!C2)</f>
        <v>5138420</v>
      </c>
      <c r="C6" s="18">
        <f>+('Letna poročila'!D2)</f>
        <v>6215073</v>
      </c>
      <c r="D6" s="18">
        <f>+('Letna poročila'!E2)</f>
        <v>7480076</v>
      </c>
      <c r="E6" s="18">
        <f>+('Letna poročila'!F2)</f>
        <v>7562777</v>
      </c>
      <c r="F6" s="18">
        <f>+('Letna poročila'!G2)</f>
        <v>8800068</v>
      </c>
      <c r="G6" s="18">
        <f>+('Letna poročila'!H2)</f>
        <v>10059203</v>
      </c>
      <c r="H6" s="18"/>
      <c r="I6" s="18"/>
      <c r="J6" s="18"/>
      <c r="K6" s="5"/>
    </row>
    <row r="7" spans="1:11" ht="15">
      <c r="A7" s="5" t="s">
        <v>176</v>
      </c>
      <c r="B7" s="18">
        <f>+('Letna poročila'!C26)</f>
        <v>838902</v>
      </c>
      <c r="C7" s="18">
        <f>+('Letna poročila'!D26)</f>
        <v>927255</v>
      </c>
      <c r="D7" s="18">
        <f>+('Letna poročila'!E26)</f>
        <v>1862375</v>
      </c>
      <c r="E7" s="18">
        <f>+('Letna poročila'!F26)</f>
        <v>2394028</v>
      </c>
      <c r="F7" s="18">
        <f>+('Letna poročila'!G26)</f>
        <v>3206594</v>
      </c>
      <c r="G7" s="18">
        <f>+('Letna poročila'!H26)</f>
        <v>4024801</v>
      </c>
      <c r="H7" s="18"/>
      <c r="I7" s="18"/>
      <c r="J7" s="18"/>
      <c r="K7" s="5"/>
    </row>
    <row r="8" spans="1:11" ht="15">
      <c r="A8" s="5"/>
      <c r="B8" s="18"/>
      <c r="C8" s="18"/>
      <c r="D8" s="18"/>
      <c r="E8" s="18"/>
      <c r="F8" s="18"/>
      <c r="G8" s="18"/>
      <c r="H8" s="18"/>
      <c r="I8" s="18"/>
      <c r="J8" s="18"/>
      <c r="K8" s="5"/>
    </row>
    <row r="9" spans="1:11" ht="15">
      <c r="A9" s="5" t="s">
        <v>178</v>
      </c>
      <c r="B9" s="18">
        <f>+(B2/B7)*100</f>
        <v>28.42131738868187</v>
      </c>
      <c r="C9" s="18">
        <f>+(C2/C7)*100</f>
        <v>9.528554712565583</v>
      </c>
      <c r="D9" s="18">
        <f>+(D2/D7)*100</f>
        <v>50.21115511108128</v>
      </c>
      <c r="E9" s="18">
        <f>+(E2/E7)*100</f>
        <v>22.207426145391786</v>
      </c>
      <c r="F9" s="18">
        <f>+(F2/F7)*100</f>
        <v>25.34043910766377</v>
      </c>
      <c r="G9" s="18">
        <f>+(G2/G7)*100</f>
        <v>20.329129315958728</v>
      </c>
      <c r="H9" s="18"/>
      <c r="I9" s="18"/>
      <c r="J9" s="18"/>
      <c r="K9" s="5"/>
    </row>
    <row r="10" spans="1:11" ht="15">
      <c r="A10" s="5" t="s">
        <v>177</v>
      </c>
      <c r="B10" s="18">
        <f>+(B2/B3)*100</f>
        <v>82.00751191794674</v>
      </c>
      <c r="C10" s="18">
        <f>+(C2/C3)*100</f>
        <v>75.22178140271416</v>
      </c>
      <c r="D10" s="18">
        <f>+(D2/D3)*100</f>
        <v>82.57392729481909</v>
      </c>
      <c r="E10" s="18">
        <f>+(E2/E3)*100</f>
        <v>88.3907833856211</v>
      </c>
      <c r="F10" s="18">
        <f>+(F2/F3)*100</f>
        <v>87.68390565211104</v>
      </c>
      <c r="G10" s="18">
        <f>+(G2/G3)*100</f>
        <v>93.22585827557565</v>
      </c>
      <c r="H10" s="18"/>
      <c r="I10" s="18"/>
      <c r="J10" s="18"/>
      <c r="K10" s="5"/>
    </row>
    <row r="11" spans="1:11" ht="15">
      <c r="A11" s="5" t="s">
        <v>179</v>
      </c>
      <c r="B11" s="18">
        <f>+(B3/B4)</f>
        <v>0.9848714787062506</v>
      </c>
      <c r="C11" s="18">
        <f>+(C3/C4)</f>
        <v>0.621579429212508</v>
      </c>
      <c r="D11" s="18">
        <f>+(D3/D4)</f>
        <v>0.9752750233815087</v>
      </c>
      <c r="E11" s="18">
        <f>+(E3/E4)</f>
        <v>0.7021948001914613</v>
      </c>
      <c r="F11" s="18">
        <f>+(F3/F4)</f>
        <v>0.8610010378118429</v>
      </c>
      <c r="G11" s="18">
        <f>+(G3/G4)</f>
        <v>0.8811689335243604</v>
      </c>
      <c r="H11" s="18"/>
      <c r="I11" s="18"/>
      <c r="J11" s="18"/>
      <c r="K11" s="5"/>
    </row>
    <row r="12" spans="1:11" ht="15">
      <c r="A12" s="5" t="s">
        <v>181</v>
      </c>
      <c r="B12" s="18">
        <f>+(B4/B5)*100</f>
        <v>8.56510596418662</v>
      </c>
      <c r="C12" s="18">
        <f>+(C4/C5)*100</f>
        <v>4.192126078579486</v>
      </c>
      <c r="D12" s="18">
        <f>+(D4/D5)*100</f>
        <v>17.371048641222067</v>
      </c>
      <c r="E12" s="18">
        <f>+(E4/E5)*100</f>
        <v>11.917324871727056</v>
      </c>
      <c r="F12" s="18">
        <f>+(F4/F5)*100</f>
        <v>13.936739060765074</v>
      </c>
      <c r="G12" s="18">
        <f>+(G4/G5)*100</f>
        <v>10.837089339543143</v>
      </c>
      <c r="H12" s="18"/>
      <c r="I12" s="18"/>
      <c r="J12" s="18"/>
      <c r="K12" s="5"/>
    </row>
    <row r="13" spans="1:11" ht="15">
      <c r="A13" s="5" t="s">
        <v>182</v>
      </c>
      <c r="B13" s="18">
        <f>+(B6/B7)</f>
        <v>6.125173142989288</v>
      </c>
      <c r="C13" s="18">
        <f>+(C6/C7)</f>
        <v>6.702657844929388</v>
      </c>
      <c r="D13" s="18">
        <f>+(D6/D7)</f>
        <v>4.01641774615746</v>
      </c>
      <c r="E13" s="18">
        <f>+(E6/E7)</f>
        <v>3.1590177725573803</v>
      </c>
      <c r="F13" s="18">
        <f>+(F6/F7)</f>
        <v>2.7443661405216875</v>
      </c>
      <c r="G13" s="18">
        <f>+(G6/G7)</f>
        <v>2.4993044376603963</v>
      </c>
      <c r="H13" s="18"/>
      <c r="I13" s="18"/>
      <c r="J13" s="18"/>
      <c r="K13" s="5"/>
    </row>
    <row r="14" spans="1:11" ht="15">
      <c r="A14" s="5"/>
      <c r="B14" s="18"/>
      <c r="C14" s="18"/>
      <c r="D14" s="18"/>
      <c r="E14" s="18"/>
      <c r="F14" s="18"/>
      <c r="G14" s="18"/>
      <c r="H14" s="18"/>
      <c r="I14" s="18"/>
      <c r="J14" s="18"/>
      <c r="K14" s="5"/>
    </row>
    <row r="15" spans="1:11" ht="15">
      <c r="A15" s="5"/>
      <c r="B15" s="18"/>
      <c r="C15" s="18"/>
      <c r="D15" s="18"/>
      <c r="E15" s="18"/>
      <c r="F15" s="18"/>
      <c r="G15" s="18"/>
      <c r="H15" s="18"/>
      <c r="I15" s="18"/>
      <c r="J15" s="18"/>
      <c r="K15" s="5"/>
    </row>
    <row r="16" spans="1:11" ht="15">
      <c r="A16" s="5"/>
      <c r="B16" s="18"/>
      <c r="C16" s="18"/>
      <c r="D16" s="18"/>
      <c r="E16" s="18"/>
      <c r="F16" s="18"/>
      <c r="G16" s="18"/>
      <c r="H16" s="18"/>
      <c r="I16" s="18"/>
      <c r="J16" s="18"/>
      <c r="K16" s="5"/>
    </row>
    <row r="17" spans="1:11" ht="15">
      <c r="A17" s="5"/>
      <c r="B17" s="18"/>
      <c r="C17" s="18"/>
      <c r="D17" s="18"/>
      <c r="E17" s="18"/>
      <c r="F17" s="18"/>
      <c r="G17" s="18"/>
      <c r="H17" s="18"/>
      <c r="I17" s="18"/>
      <c r="J17" s="18"/>
      <c r="K17" s="5"/>
    </row>
    <row r="18" spans="1:11" ht="15">
      <c r="A18" s="5"/>
      <c r="B18" s="18"/>
      <c r="C18" s="18"/>
      <c r="D18" s="18"/>
      <c r="E18" s="18"/>
      <c r="F18" s="18"/>
      <c r="G18" s="18"/>
      <c r="H18" s="18"/>
      <c r="I18" s="18"/>
      <c r="J18" s="18"/>
      <c r="K18" s="5"/>
    </row>
    <row r="19" spans="1:11" ht="15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5"/>
    </row>
    <row r="20" spans="1:11" ht="15">
      <c r="A20" s="5"/>
      <c r="B20" s="18"/>
      <c r="C20" s="18"/>
      <c r="D20" s="18"/>
      <c r="E20" s="18"/>
      <c r="F20" s="18"/>
      <c r="G20" s="18"/>
      <c r="H20" s="18"/>
      <c r="I20" s="18"/>
      <c r="J20" s="18"/>
      <c r="K20" s="5"/>
    </row>
    <row r="21" spans="1:11" ht="15">
      <c r="A21" s="5"/>
      <c r="B21" s="18"/>
      <c r="C21" s="18"/>
      <c r="D21" s="18"/>
      <c r="E21" s="18"/>
      <c r="F21" s="18"/>
      <c r="G21" s="18"/>
      <c r="H21" s="18"/>
      <c r="I21" s="18"/>
      <c r="J21" s="18"/>
      <c r="K21" s="5"/>
    </row>
    <row r="22" spans="1:11" ht="15">
      <c r="A22" s="5"/>
      <c r="B22" s="18"/>
      <c r="C22" s="18"/>
      <c r="D22" s="18"/>
      <c r="E22" s="18"/>
      <c r="F22" s="18"/>
      <c r="G22" s="18"/>
      <c r="H22" s="18"/>
      <c r="I22" s="18"/>
      <c r="J22" s="18"/>
      <c r="K22" s="5"/>
    </row>
    <row r="23" spans="1:11" ht="15">
      <c r="A23" s="5"/>
      <c r="B23" s="18"/>
      <c r="C23" s="18"/>
      <c r="D23" s="18"/>
      <c r="E23" s="18"/>
      <c r="F23" s="18"/>
      <c r="G23" s="18"/>
      <c r="H23" s="18"/>
      <c r="I23" s="18"/>
      <c r="J23" s="18"/>
      <c r="K23" s="5"/>
    </row>
    <row r="24" spans="1:11" ht="15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5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pane ySplit="1" topLeftCell="A100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2.00390625" style="51" customWidth="1"/>
    <col min="2" max="2" width="17.8515625" style="0" customWidth="1"/>
    <col min="3" max="3" width="44.57421875" style="0" customWidth="1"/>
    <col min="4" max="4" width="39.00390625" style="0" customWidth="1"/>
    <col min="5" max="5" width="66.140625" style="0" customWidth="1"/>
  </cols>
  <sheetData>
    <row r="1" spans="1:10" s="56" customFormat="1" ht="15">
      <c r="A1" s="55" t="s">
        <v>183</v>
      </c>
      <c r="B1" s="27" t="s">
        <v>220</v>
      </c>
      <c r="C1" s="27" t="s">
        <v>221</v>
      </c>
      <c r="D1" s="27" t="s">
        <v>222</v>
      </c>
      <c r="E1" s="27" t="s">
        <v>223</v>
      </c>
      <c r="F1" s="27"/>
      <c r="G1" s="27"/>
      <c r="H1" s="27"/>
      <c r="I1" s="27"/>
      <c r="J1" s="27"/>
    </row>
    <row r="2" spans="1:9" ht="15">
      <c r="A2" s="52">
        <v>39843</v>
      </c>
      <c r="B2" s="18">
        <v>10146.46</v>
      </c>
      <c r="C2" s="5" t="s">
        <v>184</v>
      </c>
      <c r="D2" s="5" t="s">
        <v>185</v>
      </c>
      <c r="E2" s="5" t="s">
        <v>186</v>
      </c>
      <c r="F2" s="5"/>
      <c r="G2" s="5"/>
      <c r="H2" s="5"/>
      <c r="I2" s="5"/>
    </row>
    <row r="3" spans="1:9" ht="15">
      <c r="A3" s="52">
        <v>39912</v>
      </c>
      <c r="B3" s="18">
        <v>34949.36</v>
      </c>
      <c r="C3" s="5" t="s">
        <v>184</v>
      </c>
      <c r="D3" s="5" t="s">
        <v>185</v>
      </c>
      <c r="E3" s="5" t="s">
        <v>186</v>
      </c>
      <c r="F3" s="5"/>
      <c r="G3" s="5"/>
      <c r="H3" s="5"/>
      <c r="I3" s="5"/>
    </row>
    <row r="4" spans="1:9" ht="15">
      <c r="A4" s="52">
        <v>39932</v>
      </c>
      <c r="B4" s="18">
        <v>10275.71</v>
      </c>
      <c r="C4" s="5" t="s">
        <v>184</v>
      </c>
      <c r="D4" s="5" t="s">
        <v>185</v>
      </c>
      <c r="E4" s="5" t="s">
        <v>186</v>
      </c>
      <c r="F4" s="5"/>
      <c r="G4" s="5"/>
      <c r="H4" s="5"/>
      <c r="I4" s="5"/>
    </row>
    <row r="5" spans="1:9" ht="15">
      <c r="A5" s="52">
        <v>39988</v>
      </c>
      <c r="B5" s="18">
        <v>360000</v>
      </c>
      <c r="C5" s="5" t="s">
        <v>187</v>
      </c>
      <c r="D5" s="5" t="s">
        <v>188</v>
      </c>
      <c r="E5" s="5" t="s">
        <v>189</v>
      </c>
      <c r="F5" s="5"/>
      <c r="G5" s="5"/>
      <c r="H5" s="5"/>
      <c r="I5" s="5"/>
    </row>
    <row r="6" spans="1:9" ht="15">
      <c r="A6" s="52">
        <v>40023</v>
      </c>
      <c r="B6" s="18">
        <v>16159.62</v>
      </c>
      <c r="C6" s="5" t="s">
        <v>195</v>
      </c>
      <c r="D6" s="5" t="s">
        <v>203</v>
      </c>
      <c r="E6" s="5" t="s">
        <v>197</v>
      </c>
      <c r="F6" s="5"/>
      <c r="G6" s="5"/>
      <c r="H6" s="5"/>
      <c r="I6" s="5"/>
    </row>
    <row r="7" spans="1:9" ht="15">
      <c r="A7" s="52">
        <v>40039</v>
      </c>
      <c r="B7" s="18">
        <v>386781.98</v>
      </c>
      <c r="C7" s="5" t="s">
        <v>184</v>
      </c>
      <c r="D7" s="5" t="s">
        <v>185</v>
      </c>
      <c r="E7" s="5" t="s">
        <v>186</v>
      </c>
      <c r="F7" s="5"/>
      <c r="G7" s="5"/>
      <c r="H7" s="5"/>
      <c r="I7" s="5"/>
    </row>
    <row r="8" spans="1:9" ht="15">
      <c r="A8" s="52">
        <v>40043</v>
      </c>
      <c r="B8" s="18">
        <v>6331.04</v>
      </c>
      <c r="C8" s="5" t="s">
        <v>204</v>
      </c>
      <c r="D8" s="5" t="s">
        <v>210</v>
      </c>
      <c r="E8" s="5" t="s">
        <v>186</v>
      </c>
      <c r="F8" s="5"/>
      <c r="G8" s="5"/>
      <c r="H8" s="5"/>
      <c r="I8" s="5"/>
    </row>
    <row r="9" spans="1:9" ht="15">
      <c r="A9" s="52">
        <v>40044</v>
      </c>
      <c r="B9" s="18">
        <v>8098.93</v>
      </c>
      <c r="C9" s="5" t="s">
        <v>204</v>
      </c>
      <c r="D9" s="5" t="s">
        <v>207</v>
      </c>
      <c r="E9" s="5" t="s">
        <v>208</v>
      </c>
      <c r="F9" s="5"/>
      <c r="G9" s="5"/>
      <c r="H9" s="5"/>
      <c r="I9" s="5"/>
    </row>
    <row r="10" spans="1:9" ht="15">
      <c r="A10" s="52">
        <v>40073</v>
      </c>
      <c r="B10" s="18">
        <v>10386.24</v>
      </c>
      <c r="C10" s="5" t="s">
        <v>184</v>
      </c>
      <c r="D10" s="5" t="s">
        <v>185</v>
      </c>
      <c r="E10" s="5" t="s">
        <v>186</v>
      </c>
      <c r="F10" s="5"/>
      <c r="G10" s="5"/>
      <c r="H10" s="5"/>
      <c r="I10" s="5"/>
    </row>
    <row r="11" spans="1:9" ht="15">
      <c r="A11" s="52">
        <v>40147</v>
      </c>
      <c r="B11" s="18">
        <v>6961.5</v>
      </c>
      <c r="C11" s="5" t="s">
        <v>204</v>
      </c>
      <c r="D11" s="5" t="s">
        <v>210</v>
      </c>
      <c r="E11" s="5" t="s">
        <v>186</v>
      </c>
      <c r="F11" s="5"/>
      <c r="G11" s="5"/>
      <c r="H11" s="5"/>
      <c r="I11" s="5"/>
    </row>
    <row r="12" spans="1:9" ht="15">
      <c r="A12" s="52">
        <v>40163</v>
      </c>
      <c r="B12" s="18">
        <v>609390.5</v>
      </c>
      <c r="C12" s="5" t="s">
        <v>184</v>
      </c>
      <c r="D12" s="5" t="s">
        <v>185</v>
      </c>
      <c r="E12" s="5" t="s">
        <v>186</v>
      </c>
      <c r="F12" s="5"/>
      <c r="G12" s="5"/>
      <c r="H12" s="5"/>
      <c r="I12" s="5"/>
    </row>
    <row r="13" spans="1:9" ht="15">
      <c r="A13" s="52">
        <v>40170</v>
      </c>
      <c r="B13" s="18">
        <v>16159.63</v>
      </c>
      <c r="C13" s="5" t="s">
        <v>195</v>
      </c>
      <c r="D13" s="5" t="s">
        <v>203</v>
      </c>
      <c r="E13" s="5" t="s">
        <v>197</v>
      </c>
      <c r="F13" s="5"/>
      <c r="G13" s="5"/>
      <c r="H13" s="5"/>
      <c r="I13" s="5"/>
    </row>
    <row r="14" spans="1:9" ht="15">
      <c r="A14" s="52">
        <v>40207</v>
      </c>
      <c r="B14" s="18">
        <v>5520.49</v>
      </c>
      <c r="C14" s="5" t="s">
        <v>184</v>
      </c>
      <c r="D14" s="5" t="s">
        <v>185</v>
      </c>
      <c r="E14" s="5" t="s">
        <v>186</v>
      </c>
      <c r="F14" s="5"/>
      <c r="G14" s="5"/>
      <c r="H14" s="5"/>
      <c r="I14" s="5"/>
    </row>
    <row r="15" spans="1:9" ht="15">
      <c r="A15" s="52">
        <v>40267</v>
      </c>
      <c r="B15" s="18">
        <v>10439.16</v>
      </c>
      <c r="C15" s="5" t="s">
        <v>184</v>
      </c>
      <c r="D15" s="5" t="s">
        <v>185</v>
      </c>
      <c r="E15" s="5" t="s">
        <v>186</v>
      </c>
      <c r="F15" s="5"/>
      <c r="G15" s="5"/>
      <c r="H15" s="5"/>
      <c r="I15" s="5"/>
    </row>
    <row r="16" spans="1:9" ht="15">
      <c r="A16" s="52">
        <v>40319</v>
      </c>
      <c r="B16" s="18">
        <v>6373.28</v>
      </c>
      <c r="C16" s="5" t="s">
        <v>204</v>
      </c>
      <c r="D16" s="5" t="s">
        <v>210</v>
      </c>
      <c r="E16" s="5" t="s">
        <v>186</v>
      </c>
      <c r="F16" s="5"/>
      <c r="G16" s="5"/>
      <c r="H16" s="5"/>
      <c r="I16" s="5"/>
    </row>
    <row r="17" spans="1:9" ht="15">
      <c r="A17" s="52">
        <v>40323</v>
      </c>
      <c r="B17" s="18">
        <v>426151.79</v>
      </c>
      <c r="C17" s="5" t="s">
        <v>184</v>
      </c>
      <c r="D17" s="5" t="s">
        <v>185</v>
      </c>
      <c r="E17" s="5" t="s">
        <v>186</v>
      </c>
      <c r="F17" s="5"/>
      <c r="G17" s="5"/>
      <c r="H17" s="5"/>
      <c r="I17" s="5"/>
    </row>
    <row r="18" spans="1:9" ht="15">
      <c r="A18" s="52">
        <v>40347</v>
      </c>
      <c r="B18" s="18">
        <v>1405.18</v>
      </c>
      <c r="C18" s="5" t="s">
        <v>213</v>
      </c>
      <c r="D18" s="5" t="s">
        <v>185</v>
      </c>
      <c r="E18" s="5" t="s">
        <v>186</v>
      </c>
      <c r="F18" s="5"/>
      <c r="G18" s="5"/>
      <c r="H18" s="5"/>
      <c r="I18" s="5"/>
    </row>
    <row r="19" spans="1:9" ht="15">
      <c r="A19" s="52">
        <v>40381</v>
      </c>
      <c r="B19" s="18">
        <v>21339.98</v>
      </c>
      <c r="C19" s="5" t="s">
        <v>184</v>
      </c>
      <c r="D19" s="5" t="s">
        <v>185</v>
      </c>
      <c r="E19" s="5" t="s">
        <v>186</v>
      </c>
      <c r="F19" s="5"/>
      <c r="G19" s="5"/>
      <c r="H19" s="5"/>
      <c r="I19" s="5"/>
    </row>
    <row r="20" spans="1:9" ht="15">
      <c r="A20" s="52">
        <v>40381</v>
      </c>
      <c r="B20" s="18">
        <v>21339.98</v>
      </c>
      <c r="C20" s="5" t="s">
        <v>184</v>
      </c>
      <c r="D20" s="5" t="s">
        <v>185</v>
      </c>
      <c r="E20" s="5" t="s">
        <v>186</v>
      </c>
      <c r="F20" s="5"/>
      <c r="G20" s="5"/>
      <c r="H20" s="5"/>
      <c r="I20" s="5"/>
    </row>
    <row r="21" spans="1:9" ht="15">
      <c r="A21" s="52">
        <v>40382</v>
      </c>
      <c r="B21" s="18">
        <v>6263.16</v>
      </c>
      <c r="C21" s="5" t="s">
        <v>204</v>
      </c>
      <c r="D21" s="5" t="s">
        <v>210</v>
      </c>
      <c r="E21" s="5" t="s">
        <v>186</v>
      </c>
      <c r="F21" s="5"/>
      <c r="G21" s="5"/>
      <c r="H21" s="5"/>
      <c r="I21" s="5"/>
    </row>
    <row r="22" spans="1:9" ht="15">
      <c r="A22" s="52">
        <v>40395</v>
      </c>
      <c r="B22" s="18">
        <v>25000.38</v>
      </c>
      <c r="C22" s="5" t="s">
        <v>195</v>
      </c>
      <c r="D22" s="5" t="s">
        <v>196</v>
      </c>
      <c r="E22" s="5" t="s">
        <v>197</v>
      </c>
      <c r="F22" s="5"/>
      <c r="G22" s="5"/>
      <c r="H22" s="5"/>
      <c r="I22" s="5"/>
    </row>
    <row r="23" spans="1:9" ht="15">
      <c r="A23" s="52">
        <v>40395</v>
      </c>
      <c r="B23" s="18">
        <v>10860.95</v>
      </c>
      <c r="C23" s="5" t="s">
        <v>184</v>
      </c>
      <c r="D23" s="5" t="s">
        <v>185</v>
      </c>
      <c r="E23" s="5" t="s">
        <v>186</v>
      </c>
      <c r="F23" s="5"/>
      <c r="G23" s="5"/>
      <c r="H23" s="5"/>
      <c r="I23" s="5"/>
    </row>
    <row r="24" spans="1:9" ht="15">
      <c r="A24" s="52">
        <v>40424</v>
      </c>
      <c r="B24" s="18">
        <v>8333.46</v>
      </c>
      <c r="C24" s="5" t="s">
        <v>195</v>
      </c>
      <c r="D24" s="5" t="s">
        <v>196</v>
      </c>
      <c r="E24" s="5" t="s">
        <v>197</v>
      </c>
      <c r="F24" s="5"/>
      <c r="G24" s="5"/>
      <c r="H24" s="5"/>
      <c r="I24" s="5"/>
    </row>
    <row r="25" spans="1:9" ht="15">
      <c r="A25" s="52">
        <v>40456</v>
      </c>
      <c r="B25" s="18">
        <v>8333.46</v>
      </c>
      <c r="C25" s="5" t="s">
        <v>195</v>
      </c>
      <c r="D25" s="5" t="s">
        <v>196</v>
      </c>
      <c r="E25" s="5" t="s">
        <v>197</v>
      </c>
      <c r="F25" s="5"/>
      <c r="G25" s="5"/>
      <c r="H25" s="5"/>
      <c r="I25" s="5"/>
    </row>
    <row r="26" spans="1:9" ht="15">
      <c r="A26" s="52">
        <v>40459</v>
      </c>
      <c r="B26" s="18">
        <v>11010.28</v>
      </c>
      <c r="C26" s="5" t="s">
        <v>184</v>
      </c>
      <c r="D26" s="5" t="s">
        <v>185</v>
      </c>
      <c r="E26" s="5" t="s">
        <v>186</v>
      </c>
      <c r="F26" s="5"/>
      <c r="G26" s="5"/>
      <c r="H26" s="5"/>
      <c r="I26" s="5"/>
    </row>
    <row r="27" spans="1:9" ht="15">
      <c r="A27" s="52">
        <v>40480</v>
      </c>
      <c r="B27" s="18">
        <v>6466.77</v>
      </c>
      <c r="C27" s="5" t="s">
        <v>204</v>
      </c>
      <c r="D27" s="5" t="s">
        <v>210</v>
      </c>
      <c r="E27" s="5" t="s">
        <v>186</v>
      </c>
      <c r="F27" s="5"/>
      <c r="G27" s="5"/>
      <c r="H27" s="5"/>
      <c r="I27" s="5"/>
    </row>
    <row r="28" spans="1:9" ht="15">
      <c r="A28" s="52">
        <v>40487</v>
      </c>
      <c r="B28" s="18">
        <v>6394.11</v>
      </c>
      <c r="C28" s="5" t="s">
        <v>204</v>
      </c>
      <c r="D28" s="5" t="s">
        <v>210</v>
      </c>
      <c r="E28" s="5" t="s">
        <v>186</v>
      </c>
      <c r="F28" s="5"/>
      <c r="G28" s="5"/>
      <c r="H28" s="5"/>
      <c r="I28" s="5"/>
    </row>
    <row r="29" spans="1:9" ht="15">
      <c r="A29" s="52">
        <v>40541</v>
      </c>
      <c r="B29" s="18">
        <v>7355.65</v>
      </c>
      <c r="C29" s="5" t="s">
        <v>195</v>
      </c>
      <c r="D29" s="5" t="s">
        <v>196</v>
      </c>
      <c r="E29" s="5" t="s">
        <v>197</v>
      </c>
      <c r="F29" s="5"/>
      <c r="G29" s="5"/>
      <c r="H29" s="5"/>
      <c r="I29" s="5"/>
    </row>
    <row r="30" spans="1:9" ht="15">
      <c r="A30" s="53">
        <v>40546</v>
      </c>
      <c r="B30" s="18">
        <v>11204.54</v>
      </c>
      <c r="C30" s="5" t="s">
        <v>184</v>
      </c>
      <c r="D30" s="5" t="s">
        <v>185</v>
      </c>
      <c r="E30" s="5" t="s">
        <v>186</v>
      </c>
      <c r="F30" s="5"/>
      <c r="G30" s="5"/>
      <c r="H30" s="5"/>
      <c r="I30" s="5"/>
    </row>
    <row r="31" spans="1:9" ht="15">
      <c r="A31" s="53">
        <v>40546</v>
      </c>
      <c r="B31" s="18">
        <v>10996.63</v>
      </c>
      <c r="C31" s="5" t="s">
        <v>184</v>
      </c>
      <c r="D31" s="5" t="s">
        <v>185</v>
      </c>
      <c r="E31" s="5" t="s">
        <v>186</v>
      </c>
      <c r="F31" s="5"/>
      <c r="G31" s="5"/>
      <c r="H31" s="5"/>
      <c r="I31" s="5"/>
    </row>
    <row r="32" spans="1:9" ht="15">
      <c r="A32" s="52">
        <v>40546</v>
      </c>
      <c r="B32" s="18">
        <v>10439.56</v>
      </c>
      <c r="C32" s="5" t="s">
        <v>184</v>
      </c>
      <c r="D32" s="5" t="s">
        <v>185</v>
      </c>
      <c r="E32" s="5" t="s">
        <v>186</v>
      </c>
      <c r="F32" s="5"/>
      <c r="G32" s="5"/>
      <c r="H32" s="5"/>
      <c r="I32" s="5"/>
    </row>
    <row r="33" spans="1:9" ht="15">
      <c r="A33" s="52">
        <v>40546</v>
      </c>
      <c r="B33" s="5">
        <v>494.13</v>
      </c>
      <c r="C33" s="5" t="s">
        <v>184</v>
      </c>
      <c r="D33" s="5" t="s">
        <v>185</v>
      </c>
      <c r="E33" s="5" t="s">
        <v>186</v>
      </c>
      <c r="F33" s="5"/>
      <c r="G33" s="5"/>
      <c r="H33" s="5"/>
      <c r="I33" s="5"/>
    </row>
    <row r="34" spans="1:9" ht="15">
      <c r="A34" s="52">
        <v>40546</v>
      </c>
      <c r="B34" s="5">
        <v>493.59</v>
      </c>
      <c r="C34" s="5" t="s">
        <v>184</v>
      </c>
      <c r="D34" s="5" t="s">
        <v>185</v>
      </c>
      <c r="E34" s="5" t="s">
        <v>186</v>
      </c>
      <c r="F34" s="5"/>
      <c r="G34" s="5"/>
      <c r="H34" s="5"/>
      <c r="I34" s="5"/>
    </row>
    <row r="35" spans="1:9" ht="15">
      <c r="A35" s="52">
        <v>40548</v>
      </c>
      <c r="B35" s="5">
        <v>977.81</v>
      </c>
      <c r="C35" s="5" t="s">
        <v>195</v>
      </c>
      <c r="D35" s="5" t="s">
        <v>196</v>
      </c>
      <c r="E35" s="5" t="s">
        <v>197</v>
      </c>
      <c r="F35" s="5"/>
      <c r="G35" s="5"/>
      <c r="H35" s="5"/>
      <c r="I35" s="5"/>
    </row>
    <row r="36" spans="1:9" ht="15">
      <c r="A36" s="52">
        <v>40570</v>
      </c>
      <c r="B36" s="18">
        <v>11180.32</v>
      </c>
      <c r="C36" s="5" t="s">
        <v>184</v>
      </c>
      <c r="D36" s="5" t="s">
        <v>185</v>
      </c>
      <c r="E36" s="5" t="s">
        <v>186</v>
      </c>
      <c r="F36" s="5"/>
      <c r="G36" s="5"/>
      <c r="H36" s="5"/>
      <c r="I36" s="5"/>
    </row>
    <row r="37" spans="1:9" ht="15">
      <c r="A37" s="52">
        <v>40602</v>
      </c>
      <c r="B37" s="18">
        <v>7875.15</v>
      </c>
      <c r="C37" s="5" t="s">
        <v>195</v>
      </c>
      <c r="D37" s="5" t="s">
        <v>196</v>
      </c>
      <c r="E37" s="5" t="s">
        <v>197</v>
      </c>
      <c r="F37" s="5"/>
      <c r="G37" s="5"/>
      <c r="H37" s="5"/>
      <c r="I37" s="5"/>
    </row>
    <row r="38" spans="1:9" ht="15">
      <c r="A38" s="52">
        <v>40618</v>
      </c>
      <c r="B38" s="18">
        <v>7875.24</v>
      </c>
      <c r="C38" s="5" t="s">
        <v>195</v>
      </c>
      <c r="D38" s="5" t="s">
        <v>196</v>
      </c>
      <c r="E38" s="5" t="s">
        <v>197</v>
      </c>
      <c r="F38" s="5"/>
      <c r="G38" s="5"/>
      <c r="H38" s="5"/>
      <c r="I38" s="5"/>
    </row>
    <row r="39" spans="1:9" ht="15">
      <c r="A39" s="52">
        <v>40620</v>
      </c>
      <c r="B39" s="5">
        <v>458.28</v>
      </c>
      <c r="C39" s="5" t="s">
        <v>195</v>
      </c>
      <c r="D39" s="5" t="s">
        <v>196</v>
      </c>
      <c r="E39" s="5" t="s">
        <v>214</v>
      </c>
      <c r="F39" s="5"/>
      <c r="G39" s="5"/>
      <c r="H39" s="5"/>
      <c r="I39" s="5"/>
    </row>
    <row r="40" spans="1:9" ht="15">
      <c r="A40" s="52">
        <v>40624</v>
      </c>
      <c r="B40" s="18">
        <v>10605.15</v>
      </c>
      <c r="C40" s="5" t="s">
        <v>184</v>
      </c>
      <c r="D40" s="5" t="s">
        <v>185</v>
      </c>
      <c r="E40" s="5" t="s">
        <v>186</v>
      </c>
      <c r="F40" s="5"/>
      <c r="G40" s="5"/>
      <c r="H40" s="5"/>
      <c r="I40" s="5"/>
    </row>
    <row r="41" spans="1:9" ht="15">
      <c r="A41" s="52">
        <v>40633</v>
      </c>
      <c r="B41" s="5">
        <v>458.28</v>
      </c>
      <c r="C41" s="5" t="s">
        <v>195</v>
      </c>
      <c r="D41" s="5" t="s">
        <v>196</v>
      </c>
      <c r="E41" s="5" t="s">
        <v>214</v>
      </c>
      <c r="F41" s="5"/>
      <c r="G41" s="5"/>
      <c r="H41" s="5"/>
      <c r="I41" s="5"/>
    </row>
    <row r="42" spans="1:9" ht="15">
      <c r="A42" s="52">
        <v>40633</v>
      </c>
      <c r="B42" s="18">
        <v>223327.54</v>
      </c>
      <c r="C42" s="5" t="s">
        <v>184</v>
      </c>
      <c r="D42" s="5" t="s">
        <v>185</v>
      </c>
      <c r="E42" s="5" t="s">
        <v>186</v>
      </c>
      <c r="F42" s="5"/>
      <c r="G42" s="5"/>
      <c r="H42" s="5"/>
      <c r="I42" s="5"/>
    </row>
    <row r="43" spans="1:9" ht="15">
      <c r="A43" s="52">
        <v>40638</v>
      </c>
      <c r="B43" s="18">
        <v>7875.15</v>
      </c>
      <c r="C43" s="5" t="s">
        <v>195</v>
      </c>
      <c r="D43" s="5" t="s">
        <v>196</v>
      </c>
      <c r="E43" s="5" t="s">
        <v>197</v>
      </c>
      <c r="F43" s="5"/>
      <c r="G43" s="5"/>
      <c r="H43" s="5"/>
      <c r="I43" s="5"/>
    </row>
    <row r="44" spans="1:9" ht="15">
      <c r="A44" s="52">
        <v>40651</v>
      </c>
      <c r="B44" s="5">
        <v>458.28</v>
      </c>
      <c r="C44" s="5" t="s">
        <v>195</v>
      </c>
      <c r="D44" s="5" t="s">
        <v>196</v>
      </c>
      <c r="E44" s="5" t="s">
        <v>214</v>
      </c>
      <c r="F44" s="5"/>
      <c r="G44" s="5"/>
      <c r="H44" s="5"/>
      <c r="I44" s="5"/>
    </row>
    <row r="45" spans="1:9" ht="15">
      <c r="A45" s="52">
        <v>40654</v>
      </c>
      <c r="B45" s="18">
        <v>10970.4</v>
      </c>
      <c r="C45" s="5" t="s">
        <v>184</v>
      </c>
      <c r="D45" s="5" t="s">
        <v>185</v>
      </c>
      <c r="E45" s="5" t="s">
        <v>186</v>
      </c>
      <c r="F45" s="5"/>
      <c r="G45" s="5"/>
      <c r="H45" s="5"/>
      <c r="I45" s="5"/>
    </row>
    <row r="46" spans="1:9" ht="15">
      <c r="A46" s="52">
        <v>40668</v>
      </c>
      <c r="B46" s="18">
        <v>7875.15</v>
      </c>
      <c r="C46" s="5" t="s">
        <v>195</v>
      </c>
      <c r="D46" s="5" t="s">
        <v>196</v>
      </c>
      <c r="E46" s="5" t="s">
        <v>197</v>
      </c>
      <c r="F46" s="5"/>
      <c r="G46" s="5"/>
      <c r="H46" s="5"/>
      <c r="I46" s="5"/>
    </row>
    <row r="47" spans="1:9" ht="15">
      <c r="A47" s="52">
        <v>40668</v>
      </c>
      <c r="B47" s="5">
        <v>458.28</v>
      </c>
      <c r="C47" s="5" t="s">
        <v>195</v>
      </c>
      <c r="D47" s="5" t="s">
        <v>196</v>
      </c>
      <c r="E47" s="5" t="s">
        <v>214</v>
      </c>
      <c r="F47" s="5"/>
      <c r="G47" s="5"/>
      <c r="H47" s="5"/>
      <c r="I47" s="5"/>
    </row>
    <row r="48" spans="1:9" ht="15">
      <c r="A48" s="52">
        <v>40697</v>
      </c>
      <c r="B48" s="18">
        <v>7875.24</v>
      </c>
      <c r="C48" s="5" t="s">
        <v>195</v>
      </c>
      <c r="D48" s="5" t="s">
        <v>196</v>
      </c>
      <c r="E48" s="5" t="s">
        <v>197</v>
      </c>
      <c r="F48" s="5"/>
      <c r="G48" s="5"/>
      <c r="H48" s="5"/>
      <c r="I48" s="5"/>
    </row>
    <row r="49" spans="1:9" ht="15">
      <c r="A49" s="52">
        <v>40697</v>
      </c>
      <c r="B49" s="5">
        <v>458.28</v>
      </c>
      <c r="C49" s="5" t="s">
        <v>195</v>
      </c>
      <c r="D49" s="5" t="s">
        <v>196</v>
      </c>
      <c r="E49" s="5" t="s">
        <v>214</v>
      </c>
      <c r="F49" s="5"/>
      <c r="G49" s="5"/>
      <c r="H49" s="5"/>
      <c r="I49" s="5"/>
    </row>
    <row r="50" spans="1:9" ht="15">
      <c r="A50" s="52">
        <v>40707</v>
      </c>
      <c r="B50" s="18">
        <v>10816.69</v>
      </c>
      <c r="C50" s="5" t="s">
        <v>184</v>
      </c>
      <c r="D50" s="5" t="s">
        <v>185</v>
      </c>
      <c r="E50" s="5" t="s">
        <v>186</v>
      </c>
      <c r="F50" s="5"/>
      <c r="G50" s="5"/>
      <c r="H50" s="5"/>
      <c r="I50" s="5"/>
    </row>
    <row r="51" spans="1:9" ht="15">
      <c r="A51" s="52">
        <v>40729</v>
      </c>
      <c r="B51" s="18">
        <v>7875.15</v>
      </c>
      <c r="C51" s="5" t="s">
        <v>195</v>
      </c>
      <c r="D51" s="5" t="s">
        <v>196</v>
      </c>
      <c r="E51" s="5" t="s">
        <v>197</v>
      </c>
      <c r="F51" s="5"/>
      <c r="G51" s="5"/>
      <c r="H51" s="5"/>
      <c r="I51" s="5"/>
    </row>
    <row r="52" spans="1:9" ht="15">
      <c r="A52" s="52">
        <v>40729</v>
      </c>
      <c r="B52" s="5">
        <v>458.28</v>
      </c>
      <c r="C52" s="5" t="s">
        <v>195</v>
      </c>
      <c r="D52" s="5" t="s">
        <v>196</v>
      </c>
      <c r="E52" s="5" t="s">
        <v>214</v>
      </c>
      <c r="F52" s="5"/>
      <c r="G52" s="5"/>
      <c r="H52" s="5"/>
      <c r="I52" s="5"/>
    </row>
    <row r="53" spans="1:9" ht="15">
      <c r="A53" s="52">
        <v>40751</v>
      </c>
      <c r="B53" s="18">
        <v>11180.32</v>
      </c>
      <c r="C53" s="5" t="s">
        <v>184</v>
      </c>
      <c r="D53" s="5" t="s">
        <v>185</v>
      </c>
      <c r="E53" s="5" t="s">
        <v>186</v>
      </c>
      <c r="F53" s="5"/>
      <c r="G53" s="5"/>
      <c r="H53" s="5"/>
      <c r="I53" s="5"/>
    </row>
    <row r="54" spans="1:9" ht="15">
      <c r="A54" s="52">
        <v>40753</v>
      </c>
      <c r="B54" s="18">
        <v>451906.79</v>
      </c>
      <c r="C54" s="5" t="s">
        <v>184</v>
      </c>
      <c r="D54" s="5" t="s">
        <v>185</v>
      </c>
      <c r="E54" s="5" t="s">
        <v>186</v>
      </c>
      <c r="F54" s="5"/>
      <c r="G54" s="5"/>
      <c r="H54" s="5"/>
      <c r="I54" s="5"/>
    </row>
    <row r="55" spans="1:9" ht="15">
      <c r="A55" s="52">
        <v>40760</v>
      </c>
      <c r="B55" s="18">
        <v>7875.15</v>
      </c>
      <c r="C55" s="5" t="s">
        <v>195</v>
      </c>
      <c r="D55" s="5" t="s">
        <v>196</v>
      </c>
      <c r="E55" s="5" t="s">
        <v>197</v>
      </c>
      <c r="F55" s="5"/>
      <c r="G55" s="5"/>
      <c r="H55" s="5"/>
      <c r="I55" s="5"/>
    </row>
    <row r="56" spans="1:9" ht="15">
      <c r="A56" s="52">
        <v>40760</v>
      </c>
      <c r="B56" s="5">
        <v>458.28</v>
      </c>
      <c r="C56" s="5" t="s">
        <v>195</v>
      </c>
      <c r="D56" s="5" t="s">
        <v>196</v>
      </c>
      <c r="E56" s="5" t="s">
        <v>214</v>
      </c>
      <c r="F56" s="5"/>
      <c r="G56" s="5"/>
      <c r="H56" s="5"/>
      <c r="I56" s="5"/>
    </row>
    <row r="57" spans="1:9" ht="15">
      <c r="A57" s="52">
        <v>40765</v>
      </c>
      <c r="B57" s="18">
        <v>14295.61</v>
      </c>
      <c r="C57" s="5" t="s">
        <v>184</v>
      </c>
      <c r="D57" s="5" t="s">
        <v>185</v>
      </c>
      <c r="E57" s="5" t="s">
        <v>186</v>
      </c>
      <c r="F57" s="5"/>
      <c r="G57" s="5"/>
      <c r="H57" s="5"/>
      <c r="I57" s="5"/>
    </row>
    <row r="58" spans="1:9" ht="15">
      <c r="A58" s="52">
        <v>40765</v>
      </c>
      <c r="B58" s="18">
        <v>14295.61</v>
      </c>
      <c r="C58" s="5" t="s">
        <v>184</v>
      </c>
      <c r="D58" s="5" t="s">
        <v>185</v>
      </c>
      <c r="E58" s="5" t="s">
        <v>186</v>
      </c>
      <c r="F58" s="5"/>
      <c r="G58" s="5"/>
      <c r="H58" s="5"/>
      <c r="I58" s="5"/>
    </row>
    <row r="59" spans="1:9" ht="15">
      <c r="A59" s="52">
        <v>40780</v>
      </c>
      <c r="B59" s="18">
        <v>11022.86</v>
      </c>
      <c r="C59" s="5" t="s">
        <v>184</v>
      </c>
      <c r="D59" s="5" t="s">
        <v>185</v>
      </c>
      <c r="E59" s="5" t="s">
        <v>186</v>
      </c>
      <c r="F59" s="5"/>
      <c r="G59" s="5"/>
      <c r="H59" s="5"/>
      <c r="I59" s="5"/>
    </row>
    <row r="60" spans="1:9" ht="15">
      <c r="A60" s="52">
        <v>40780</v>
      </c>
      <c r="B60" s="18">
        <v>10730.39</v>
      </c>
      <c r="C60" s="5" t="s">
        <v>184</v>
      </c>
      <c r="D60" s="5" t="s">
        <v>185</v>
      </c>
      <c r="E60" s="5" t="s">
        <v>186</v>
      </c>
      <c r="F60" s="5"/>
      <c r="G60" s="5"/>
      <c r="H60" s="5"/>
      <c r="I60" s="5"/>
    </row>
    <row r="61" spans="1:9" ht="15">
      <c r="A61" s="52">
        <v>40791</v>
      </c>
      <c r="B61" s="18">
        <v>7875.24</v>
      </c>
      <c r="C61" s="5" t="s">
        <v>195</v>
      </c>
      <c r="D61" s="5" t="s">
        <v>196</v>
      </c>
      <c r="E61" s="5" t="s">
        <v>197</v>
      </c>
      <c r="F61" s="5"/>
      <c r="G61" s="5"/>
      <c r="H61" s="5"/>
      <c r="I61" s="5"/>
    </row>
    <row r="62" spans="1:9" ht="15">
      <c r="A62" s="52">
        <v>40791</v>
      </c>
      <c r="B62" s="5">
        <v>458.28</v>
      </c>
      <c r="C62" s="5" t="s">
        <v>195</v>
      </c>
      <c r="D62" s="5" t="s">
        <v>196</v>
      </c>
      <c r="E62" s="5" t="s">
        <v>214</v>
      </c>
      <c r="F62" s="5"/>
      <c r="G62" s="5"/>
      <c r="H62" s="5"/>
      <c r="I62" s="5"/>
    </row>
    <row r="63" spans="1:9" ht="15">
      <c r="A63" s="52">
        <v>40792</v>
      </c>
      <c r="B63" s="18">
        <v>10996.63</v>
      </c>
      <c r="C63" s="5" t="s">
        <v>184</v>
      </c>
      <c r="D63" s="5" t="s">
        <v>185</v>
      </c>
      <c r="E63" s="5" t="s">
        <v>186</v>
      </c>
      <c r="F63" s="5"/>
      <c r="G63" s="5"/>
      <c r="H63" s="5"/>
      <c r="I63" s="5"/>
    </row>
    <row r="64" spans="1:9" ht="15">
      <c r="A64" s="52">
        <v>40821</v>
      </c>
      <c r="B64" s="18">
        <v>7875.15</v>
      </c>
      <c r="C64" s="5" t="s">
        <v>195</v>
      </c>
      <c r="D64" s="5" t="s">
        <v>196</v>
      </c>
      <c r="E64" s="5" t="s">
        <v>197</v>
      </c>
      <c r="F64" s="5"/>
      <c r="G64" s="5"/>
      <c r="H64" s="5"/>
      <c r="I64" s="5"/>
    </row>
    <row r="65" spans="1:9" ht="15">
      <c r="A65" s="52">
        <v>40821</v>
      </c>
      <c r="B65" s="5">
        <v>458.28</v>
      </c>
      <c r="C65" s="5" t="s">
        <v>195</v>
      </c>
      <c r="D65" s="5" t="s">
        <v>196</v>
      </c>
      <c r="E65" s="5" t="s">
        <v>214</v>
      </c>
      <c r="F65" s="5"/>
      <c r="G65" s="5"/>
      <c r="H65" s="5"/>
      <c r="I65" s="5"/>
    </row>
    <row r="66" spans="1:9" ht="15">
      <c r="A66" s="52">
        <v>40826</v>
      </c>
      <c r="B66" s="18">
        <v>11034.03</v>
      </c>
      <c r="C66" s="5" t="s">
        <v>184</v>
      </c>
      <c r="D66" s="5" t="s">
        <v>185</v>
      </c>
      <c r="E66" s="5" t="s">
        <v>186</v>
      </c>
      <c r="F66" s="5"/>
      <c r="G66" s="5"/>
      <c r="H66" s="5"/>
      <c r="I66" s="5"/>
    </row>
    <row r="67" spans="1:9" ht="15">
      <c r="A67" s="52">
        <v>40827</v>
      </c>
      <c r="B67" s="18">
        <v>10000</v>
      </c>
      <c r="C67" s="5" t="s">
        <v>204</v>
      </c>
      <c r="D67" s="5" t="s">
        <v>205</v>
      </c>
      <c r="E67" s="5" t="s">
        <v>186</v>
      </c>
      <c r="F67" s="5"/>
      <c r="G67" s="5"/>
      <c r="H67" s="5"/>
      <c r="I67" s="5"/>
    </row>
    <row r="68" spans="1:9" ht="15">
      <c r="A68" s="52">
        <v>40840</v>
      </c>
      <c r="B68" s="18">
        <v>10973.73</v>
      </c>
      <c r="C68" s="5" t="s">
        <v>184</v>
      </c>
      <c r="D68" s="5" t="s">
        <v>185</v>
      </c>
      <c r="E68" s="5" t="s">
        <v>186</v>
      </c>
      <c r="F68" s="5"/>
      <c r="G68" s="5"/>
      <c r="H68" s="5"/>
      <c r="I68" s="5"/>
    </row>
    <row r="69" spans="1:9" ht="15">
      <c r="A69" s="52">
        <v>40851</v>
      </c>
      <c r="B69" s="18">
        <v>7875.15</v>
      </c>
      <c r="C69" s="5" t="s">
        <v>195</v>
      </c>
      <c r="D69" s="5" t="s">
        <v>196</v>
      </c>
      <c r="E69" s="5" t="s">
        <v>197</v>
      </c>
      <c r="F69" s="5"/>
      <c r="G69" s="5"/>
      <c r="H69" s="5"/>
      <c r="I69" s="5"/>
    </row>
    <row r="70" spans="1:9" ht="15">
      <c r="A70" s="52">
        <v>40851</v>
      </c>
      <c r="B70" s="5">
        <v>458.28</v>
      </c>
      <c r="C70" s="5" t="s">
        <v>195</v>
      </c>
      <c r="D70" s="5" t="s">
        <v>196</v>
      </c>
      <c r="E70" s="5" t="s">
        <v>214</v>
      </c>
      <c r="F70" s="5"/>
      <c r="G70" s="5"/>
      <c r="H70" s="5"/>
      <c r="I70" s="5"/>
    </row>
    <row r="71" spans="1:9" ht="15">
      <c r="A71" s="53">
        <v>40852</v>
      </c>
      <c r="B71" s="18">
        <v>8333.46</v>
      </c>
      <c r="C71" s="5" t="s">
        <v>195</v>
      </c>
      <c r="D71" s="5" t="s">
        <v>206</v>
      </c>
      <c r="E71" s="5" t="s">
        <v>215</v>
      </c>
      <c r="F71" s="5"/>
      <c r="G71" s="5"/>
      <c r="H71" s="5"/>
      <c r="I71" s="5"/>
    </row>
    <row r="72" spans="1:9" ht="15">
      <c r="A72" s="52">
        <v>40877</v>
      </c>
      <c r="B72" s="18">
        <v>7697.65</v>
      </c>
      <c r="C72" s="5" t="s">
        <v>184</v>
      </c>
      <c r="D72" s="5" t="s">
        <v>185</v>
      </c>
      <c r="E72" s="5" t="s">
        <v>186</v>
      </c>
      <c r="F72" s="5"/>
      <c r="G72" s="5"/>
      <c r="H72" s="5"/>
      <c r="I72" s="5"/>
    </row>
    <row r="73" spans="1:9" ht="15">
      <c r="A73" s="52">
        <v>40877</v>
      </c>
      <c r="B73" s="18">
        <v>6895.7</v>
      </c>
      <c r="C73" s="5" t="s">
        <v>184</v>
      </c>
      <c r="D73" s="5" t="s">
        <v>185</v>
      </c>
      <c r="E73" s="5" t="s">
        <v>186</v>
      </c>
      <c r="F73" s="5"/>
      <c r="G73" s="5"/>
      <c r="H73" s="5"/>
      <c r="I73" s="5"/>
    </row>
    <row r="74" spans="1:9" ht="15">
      <c r="A74" s="52">
        <v>40882</v>
      </c>
      <c r="B74" s="5">
        <v>458.28</v>
      </c>
      <c r="C74" s="5" t="s">
        <v>195</v>
      </c>
      <c r="D74" s="5" t="s">
        <v>196</v>
      </c>
      <c r="E74" s="5" t="s">
        <v>214</v>
      </c>
      <c r="F74" s="5"/>
      <c r="G74" s="5"/>
      <c r="H74" s="5"/>
      <c r="I74" s="5"/>
    </row>
    <row r="75" spans="1:9" ht="15">
      <c r="A75" s="52">
        <v>40892</v>
      </c>
      <c r="B75" s="18">
        <v>7000</v>
      </c>
      <c r="C75" s="5" t="s">
        <v>204</v>
      </c>
      <c r="D75" s="5" t="s">
        <v>209</v>
      </c>
      <c r="E75" s="5" t="s">
        <v>186</v>
      </c>
      <c r="F75" s="5"/>
      <c r="G75" s="5"/>
      <c r="H75" s="5"/>
      <c r="I75" s="5"/>
    </row>
    <row r="76" spans="1:9" ht="15">
      <c r="A76" s="52">
        <v>40913</v>
      </c>
      <c r="B76" s="18">
        <v>15641.85</v>
      </c>
      <c r="C76" s="5" t="s">
        <v>195</v>
      </c>
      <c r="D76" s="5" t="s">
        <v>196</v>
      </c>
      <c r="E76" s="5" t="s">
        <v>197</v>
      </c>
      <c r="F76" s="5"/>
      <c r="G76" s="5"/>
      <c r="H76" s="5"/>
      <c r="I76" s="5"/>
    </row>
    <row r="77" spans="1:9" ht="15">
      <c r="A77" s="52">
        <v>40924</v>
      </c>
      <c r="B77" s="5">
        <v>566.82</v>
      </c>
      <c r="C77" s="5" t="s">
        <v>195</v>
      </c>
      <c r="D77" s="5" t="s">
        <v>196</v>
      </c>
      <c r="E77" s="5" t="s">
        <v>214</v>
      </c>
      <c r="F77" s="5"/>
      <c r="G77" s="5"/>
      <c r="H77" s="5"/>
      <c r="I77" s="5"/>
    </row>
    <row r="78" spans="1:9" ht="15">
      <c r="A78" s="52">
        <v>40938</v>
      </c>
      <c r="B78" s="18">
        <v>10996.63</v>
      </c>
      <c r="C78" s="5" t="s">
        <v>184</v>
      </c>
      <c r="D78" s="5" t="s">
        <v>185</v>
      </c>
      <c r="E78" s="5" t="s">
        <v>186</v>
      </c>
      <c r="F78" s="5"/>
      <c r="G78" s="5"/>
      <c r="H78" s="5"/>
      <c r="I78" s="5"/>
    </row>
    <row r="79" spans="1:9" ht="15">
      <c r="A79" s="52">
        <v>40938</v>
      </c>
      <c r="B79" s="18">
        <v>10996.63</v>
      </c>
      <c r="C79" s="5" t="s">
        <v>184</v>
      </c>
      <c r="D79" s="5" t="s">
        <v>185</v>
      </c>
      <c r="E79" s="5" t="s">
        <v>186</v>
      </c>
      <c r="F79" s="5"/>
      <c r="G79" s="5"/>
      <c r="H79" s="5"/>
      <c r="I79" s="5"/>
    </row>
    <row r="80" spans="1:9" ht="15">
      <c r="A80" s="52">
        <v>40954</v>
      </c>
      <c r="B80" s="18">
        <v>11180.32</v>
      </c>
      <c r="C80" s="5" t="s">
        <v>184</v>
      </c>
      <c r="D80" s="5" t="s">
        <v>185</v>
      </c>
      <c r="E80" s="5" t="s">
        <v>186</v>
      </c>
      <c r="F80" s="5"/>
      <c r="G80" s="5"/>
      <c r="H80" s="5"/>
      <c r="I80" s="5"/>
    </row>
    <row r="81" spans="1:9" ht="15">
      <c r="A81" s="52">
        <v>40973</v>
      </c>
      <c r="B81" s="18">
        <v>15732.27</v>
      </c>
      <c r="C81" s="5" t="s">
        <v>195</v>
      </c>
      <c r="D81" s="5" t="s">
        <v>196</v>
      </c>
      <c r="E81" s="5" t="s">
        <v>197</v>
      </c>
      <c r="F81" s="5"/>
      <c r="G81" s="5"/>
      <c r="H81" s="5"/>
      <c r="I81" s="5"/>
    </row>
    <row r="82" spans="1:9" ht="15">
      <c r="A82" s="52">
        <v>40975</v>
      </c>
      <c r="B82" s="18">
        <v>21443.42</v>
      </c>
      <c r="C82" s="5" t="s">
        <v>184</v>
      </c>
      <c r="D82" s="5" t="s">
        <v>185</v>
      </c>
      <c r="E82" s="5" t="s">
        <v>186</v>
      </c>
      <c r="F82" s="5"/>
      <c r="G82" s="5"/>
      <c r="H82" s="5"/>
      <c r="I82" s="5"/>
    </row>
    <row r="83" spans="1:9" ht="15">
      <c r="A83" s="52">
        <v>40984</v>
      </c>
      <c r="B83" s="5">
        <v>934.65</v>
      </c>
      <c r="C83" s="5" t="s">
        <v>195</v>
      </c>
      <c r="D83" s="5" t="s">
        <v>196</v>
      </c>
      <c r="E83" s="5" t="s">
        <v>214</v>
      </c>
      <c r="F83" s="5"/>
      <c r="G83" s="5"/>
      <c r="H83" s="5"/>
      <c r="I83" s="5"/>
    </row>
    <row r="84" spans="1:9" ht="15">
      <c r="A84" s="52">
        <v>40991</v>
      </c>
      <c r="B84" s="18">
        <v>11119.09</v>
      </c>
      <c r="C84" s="5" t="s">
        <v>184</v>
      </c>
      <c r="D84" s="5" t="s">
        <v>185</v>
      </c>
      <c r="E84" s="5" t="s">
        <v>186</v>
      </c>
      <c r="F84" s="5"/>
      <c r="G84" s="5"/>
      <c r="H84" s="5"/>
      <c r="I84" s="5"/>
    </row>
    <row r="85" spans="1:9" ht="15">
      <c r="A85" s="52">
        <v>40991</v>
      </c>
      <c r="B85" s="18">
        <v>10914.12</v>
      </c>
      <c r="C85" s="5" t="s">
        <v>184</v>
      </c>
      <c r="D85" s="5" t="s">
        <v>185</v>
      </c>
      <c r="E85" s="5" t="s">
        <v>186</v>
      </c>
      <c r="F85" s="5"/>
      <c r="G85" s="5"/>
      <c r="H85" s="5"/>
      <c r="I85" s="5"/>
    </row>
    <row r="86" spans="1:9" ht="15">
      <c r="A86" s="52">
        <v>41004</v>
      </c>
      <c r="B86" s="18">
        <v>7866.13</v>
      </c>
      <c r="C86" s="5" t="s">
        <v>195</v>
      </c>
      <c r="D86" s="5" t="s">
        <v>196</v>
      </c>
      <c r="E86" s="5" t="s">
        <v>197</v>
      </c>
      <c r="F86" s="5"/>
      <c r="G86" s="5"/>
      <c r="H86" s="5"/>
      <c r="I86" s="5"/>
    </row>
    <row r="87" spans="1:9" ht="15">
      <c r="A87" s="52">
        <v>41015</v>
      </c>
      <c r="B87" s="5">
        <v>467.33</v>
      </c>
      <c r="C87" s="5" t="s">
        <v>195</v>
      </c>
      <c r="D87" s="5" t="s">
        <v>196</v>
      </c>
      <c r="E87" s="5" t="s">
        <v>214</v>
      </c>
      <c r="F87" s="5"/>
      <c r="G87" s="5"/>
      <c r="H87" s="5"/>
      <c r="I87" s="5"/>
    </row>
    <row r="88" spans="1:9" ht="15">
      <c r="A88" s="52">
        <v>41039</v>
      </c>
      <c r="B88" s="18">
        <v>20124.57</v>
      </c>
      <c r="C88" s="5" t="s">
        <v>184</v>
      </c>
      <c r="D88" s="5" t="s">
        <v>185</v>
      </c>
      <c r="E88" s="5" t="s">
        <v>186</v>
      </c>
      <c r="F88" s="5"/>
      <c r="G88" s="5"/>
      <c r="H88" s="5"/>
      <c r="I88" s="5"/>
    </row>
    <row r="89" spans="1:9" ht="15">
      <c r="A89" s="52">
        <v>41039</v>
      </c>
      <c r="B89" s="18">
        <v>20124.57</v>
      </c>
      <c r="C89" s="5" t="s">
        <v>184</v>
      </c>
      <c r="D89" s="5" t="s">
        <v>185</v>
      </c>
      <c r="E89" s="5" t="s">
        <v>186</v>
      </c>
      <c r="F89" s="5"/>
      <c r="G89" s="5"/>
      <c r="H89" s="5"/>
      <c r="I89" s="5"/>
    </row>
    <row r="90" spans="1:9" ht="15">
      <c r="A90" s="52">
        <v>41039</v>
      </c>
      <c r="B90" s="18">
        <v>10866.79</v>
      </c>
      <c r="C90" s="5" t="s">
        <v>184</v>
      </c>
      <c r="D90" s="5" t="s">
        <v>185</v>
      </c>
      <c r="E90" s="5" t="s">
        <v>186</v>
      </c>
      <c r="F90" s="5"/>
      <c r="G90" s="5"/>
      <c r="H90" s="5"/>
      <c r="I90" s="5"/>
    </row>
    <row r="91" spans="1:9" ht="15">
      <c r="A91" s="52">
        <v>41131</v>
      </c>
      <c r="B91" s="18">
        <v>7793.78</v>
      </c>
      <c r="C91" s="5" t="s">
        <v>195</v>
      </c>
      <c r="D91" s="5" t="s">
        <v>196</v>
      </c>
      <c r="E91" s="5" t="s">
        <v>197</v>
      </c>
      <c r="F91" s="5"/>
      <c r="G91" s="5"/>
      <c r="H91" s="5"/>
      <c r="I91" s="5"/>
    </row>
    <row r="92" spans="1:9" ht="15">
      <c r="A92" s="52">
        <v>41131</v>
      </c>
      <c r="B92" s="18">
        <v>11180.32</v>
      </c>
      <c r="C92" s="5" t="s">
        <v>184</v>
      </c>
      <c r="D92" s="5" t="s">
        <v>185</v>
      </c>
      <c r="E92" s="5" t="s">
        <v>186</v>
      </c>
      <c r="F92" s="5"/>
      <c r="G92" s="5"/>
      <c r="H92" s="5"/>
      <c r="I92" s="5"/>
    </row>
    <row r="93" spans="1:9" ht="15">
      <c r="A93" s="52">
        <v>41145</v>
      </c>
      <c r="B93" s="18">
        <v>78458.83</v>
      </c>
      <c r="C93" s="5" t="s">
        <v>184</v>
      </c>
      <c r="D93" s="5" t="s">
        <v>185</v>
      </c>
      <c r="E93" s="5" t="s">
        <v>186</v>
      </c>
      <c r="F93" s="5"/>
      <c r="G93" s="5"/>
      <c r="H93" s="5"/>
      <c r="I93" s="5"/>
    </row>
    <row r="94" spans="1:9" ht="15">
      <c r="A94" s="52">
        <v>41159</v>
      </c>
      <c r="B94" s="18">
        <v>2311.95</v>
      </c>
      <c r="C94" s="5" t="s">
        <v>184</v>
      </c>
      <c r="D94" s="5" t="s">
        <v>185</v>
      </c>
      <c r="E94" s="5" t="s">
        <v>186</v>
      </c>
      <c r="F94" s="5"/>
      <c r="G94" s="5"/>
      <c r="H94" s="5"/>
      <c r="I94" s="5"/>
    </row>
    <row r="95" spans="1:9" ht="15">
      <c r="A95" s="52">
        <v>41159</v>
      </c>
      <c r="B95" s="18">
        <v>10569.53</v>
      </c>
      <c r="C95" s="5" t="s">
        <v>184</v>
      </c>
      <c r="D95" s="5" t="s">
        <v>185</v>
      </c>
      <c r="E95" s="5" t="s">
        <v>186</v>
      </c>
      <c r="F95" s="5"/>
      <c r="G95" s="5"/>
      <c r="H95" s="5"/>
      <c r="I95" s="5"/>
    </row>
    <row r="96" spans="1:9" ht="15">
      <c r="A96" s="52">
        <v>41204</v>
      </c>
      <c r="B96" s="5">
        <v>503.5</v>
      </c>
      <c r="C96" s="5" t="s">
        <v>195</v>
      </c>
      <c r="D96" s="5" t="s">
        <v>196</v>
      </c>
      <c r="E96" s="5" t="s">
        <v>214</v>
      </c>
      <c r="F96" s="5"/>
      <c r="G96" s="5"/>
      <c r="H96" s="5"/>
      <c r="I96" s="5"/>
    </row>
    <row r="97" spans="1:9" ht="15">
      <c r="A97" s="52">
        <v>41246</v>
      </c>
      <c r="B97" s="18">
        <v>63945.42</v>
      </c>
      <c r="C97" s="5" t="s">
        <v>192</v>
      </c>
      <c r="D97" s="5" t="s">
        <v>193</v>
      </c>
      <c r="E97" s="5" t="s">
        <v>194</v>
      </c>
      <c r="F97" s="5"/>
      <c r="G97" s="5"/>
      <c r="H97" s="5"/>
      <c r="I97" s="5"/>
    </row>
    <row r="98" spans="1:9" ht="15">
      <c r="A98" s="52">
        <v>41246</v>
      </c>
      <c r="B98" s="18">
        <v>11284.49</v>
      </c>
      <c r="C98" s="5" t="s">
        <v>192</v>
      </c>
      <c r="D98" s="5" t="s">
        <v>193</v>
      </c>
      <c r="E98" s="5" t="s">
        <v>194</v>
      </c>
      <c r="F98" s="5"/>
      <c r="G98" s="5"/>
      <c r="H98" s="5"/>
      <c r="I98" s="5"/>
    </row>
    <row r="99" spans="1:9" ht="15">
      <c r="A99" s="52">
        <v>41249</v>
      </c>
      <c r="B99" s="18">
        <v>20000</v>
      </c>
      <c r="C99" s="5" t="s">
        <v>200</v>
      </c>
      <c r="D99" s="5" t="s">
        <v>201</v>
      </c>
      <c r="E99" s="5" t="s">
        <v>202</v>
      </c>
      <c r="F99" s="5"/>
      <c r="G99" s="5"/>
      <c r="H99" s="5"/>
      <c r="I99" s="5"/>
    </row>
    <row r="100" spans="1:9" ht="15">
      <c r="A100" s="52">
        <v>41255</v>
      </c>
      <c r="B100" s="18">
        <v>10920.13</v>
      </c>
      <c r="C100" s="5" t="s">
        <v>184</v>
      </c>
      <c r="D100" s="5" t="s">
        <v>185</v>
      </c>
      <c r="E100" s="5" t="s">
        <v>186</v>
      </c>
      <c r="F100" s="5"/>
      <c r="G100" s="5"/>
      <c r="H100" s="5"/>
      <c r="I100" s="5"/>
    </row>
    <row r="101" spans="1:9" ht="15">
      <c r="A101" s="52">
        <v>41264</v>
      </c>
      <c r="B101" s="18">
        <v>160000</v>
      </c>
      <c r="C101" s="5" t="s">
        <v>190</v>
      </c>
      <c r="D101" s="5" t="s">
        <v>188</v>
      </c>
      <c r="E101" s="5" t="s">
        <v>191</v>
      </c>
      <c r="F101" s="5"/>
      <c r="G101" s="5"/>
      <c r="H101" s="5"/>
      <c r="I101" s="5"/>
    </row>
    <row r="102" spans="1:9" ht="15">
      <c r="A102" s="52">
        <v>41270</v>
      </c>
      <c r="B102" s="18">
        <v>11309.41</v>
      </c>
      <c r="C102" s="5" t="s">
        <v>184</v>
      </c>
      <c r="D102" s="5" t="s">
        <v>185</v>
      </c>
      <c r="E102" s="5" t="s">
        <v>186</v>
      </c>
      <c r="F102" s="5"/>
      <c r="G102" s="5"/>
      <c r="H102" s="5"/>
      <c r="I102" s="5"/>
    </row>
    <row r="103" spans="1:9" ht="15">
      <c r="A103" s="52">
        <v>41270</v>
      </c>
      <c r="B103" s="18">
        <v>10841.49</v>
      </c>
      <c r="C103" s="5" t="s">
        <v>184</v>
      </c>
      <c r="D103" s="5" t="s">
        <v>185</v>
      </c>
      <c r="E103" s="5" t="s">
        <v>186</v>
      </c>
      <c r="F103" s="5"/>
      <c r="G103" s="5"/>
      <c r="H103" s="5"/>
      <c r="I103" s="5"/>
    </row>
    <row r="104" spans="1:9" ht="15">
      <c r="A104" s="52">
        <v>41376</v>
      </c>
      <c r="B104" s="18">
        <v>11092.74</v>
      </c>
      <c r="C104" s="5" t="s">
        <v>198</v>
      </c>
      <c r="D104" s="5" t="s">
        <v>199</v>
      </c>
      <c r="E104" s="5" t="s">
        <v>186</v>
      </c>
      <c r="F104" s="5"/>
      <c r="G104" s="5"/>
      <c r="H104" s="5"/>
      <c r="I104" s="5"/>
    </row>
    <row r="105" spans="1:9" ht="15">
      <c r="A105" s="52">
        <v>41376</v>
      </c>
      <c r="B105" s="18">
        <v>10769.52</v>
      </c>
      <c r="C105" s="5" t="s">
        <v>198</v>
      </c>
      <c r="D105" s="5" t="s">
        <v>199</v>
      </c>
      <c r="E105" s="5" t="s">
        <v>186</v>
      </c>
      <c r="F105" s="5"/>
      <c r="G105" s="5"/>
      <c r="H105" s="5"/>
      <c r="I105" s="5"/>
    </row>
    <row r="106" spans="1:9" ht="15">
      <c r="A106" s="52">
        <v>41381</v>
      </c>
      <c r="B106" s="18">
        <v>21801.62</v>
      </c>
      <c r="C106" s="5" t="s">
        <v>198</v>
      </c>
      <c r="D106" s="5" t="s">
        <v>199</v>
      </c>
      <c r="E106" s="5" t="s">
        <v>186</v>
      </c>
      <c r="F106" s="5"/>
      <c r="G106" s="5"/>
      <c r="H106" s="5"/>
      <c r="I106" s="5"/>
    </row>
    <row r="107" spans="1:9" ht="15">
      <c r="A107" s="52">
        <v>41397</v>
      </c>
      <c r="B107" s="18">
        <v>11057.86</v>
      </c>
      <c r="C107" s="5" t="s">
        <v>198</v>
      </c>
      <c r="D107" s="5" t="s">
        <v>199</v>
      </c>
      <c r="E107" s="5" t="s">
        <v>186</v>
      </c>
      <c r="F107" s="5"/>
      <c r="G107" s="5"/>
      <c r="H107" s="5"/>
      <c r="I107" s="5"/>
    </row>
    <row r="108" spans="1:9" ht="15">
      <c r="A108" s="52">
        <v>41402</v>
      </c>
      <c r="B108" s="18">
        <v>11040.71</v>
      </c>
      <c r="C108" s="5" t="s">
        <v>198</v>
      </c>
      <c r="D108" s="5" t="s">
        <v>199</v>
      </c>
      <c r="E108" s="5" t="s">
        <v>186</v>
      </c>
      <c r="F108" s="5"/>
      <c r="G108" s="5"/>
      <c r="H108" s="5"/>
      <c r="I108" s="5"/>
    </row>
    <row r="109" spans="1:9" ht="15">
      <c r="A109" s="52">
        <v>41451</v>
      </c>
      <c r="B109" s="18">
        <v>2500</v>
      </c>
      <c r="C109" s="5" t="s">
        <v>195</v>
      </c>
      <c r="D109" s="5" t="s">
        <v>211</v>
      </c>
      <c r="E109" s="5" t="s">
        <v>212</v>
      </c>
      <c r="F109" s="5"/>
      <c r="G109" s="5"/>
      <c r="H109" s="5"/>
      <c r="I109" s="5"/>
    </row>
    <row r="110" spans="1:9" ht="15">
      <c r="A110" s="52"/>
      <c r="B110" s="46">
        <f>+SUM(B2:B109)</f>
        <v>3666247.5299999956</v>
      </c>
      <c r="C110" s="5"/>
      <c r="D110" s="5"/>
      <c r="E110" s="5"/>
      <c r="F110" s="5"/>
      <c r="G110" s="5"/>
      <c r="H110" s="5"/>
      <c r="I110" s="5"/>
    </row>
    <row r="111" spans="1:9" ht="15">
      <c r="A111" s="52"/>
      <c r="B111" s="5"/>
      <c r="C111" s="5"/>
      <c r="D111" s="5"/>
      <c r="E111" s="5"/>
      <c r="F111" s="5"/>
      <c r="G111" s="5"/>
      <c r="H111" s="5"/>
      <c r="I111" s="5"/>
    </row>
    <row r="112" spans="1:9" s="56" customFormat="1" ht="15">
      <c r="A112" s="52"/>
      <c r="B112" s="54" t="s">
        <v>227</v>
      </c>
      <c r="C112" s="54" t="s">
        <v>224</v>
      </c>
      <c r="D112" s="5"/>
      <c r="E112" s="5"/>
      <c r="F112" s="5"/>
      <c r="G112" s="5"/>
      <c r="H112" s="5"/>
      <c r="I112" s="5"/>
    </row>
    <row r="113" spans="1:9" ht="15">
      <c r="A113" s="52" t="s">
        <v>225</v>
      </c>
      <c r="B113" s="5"/>
      <c r="C113" s="18">
        <v>794044.31</v>
      </c>
      <c r="D113" s="5"/>
      <c r="E113" s="5"/>
      <c r="F113" s="5"/>
      <c r="G113" s="5"/>
      <c r="H113" s="5"/>
      <c r="I113" s="5"/>
    </row>
    <row r="114" spans="1:9" s="56" customFormat="1" ht="15">
      <c r="A114" s="52" t="s">
        <v>226</v>
      </c>
      <c r="B114" s="5"/>
      <c r="C114" s="18">
        <v>258445.27</v>
      </c>
      <c r="D114" s="5"/>
      <c r="E114" s="5"/>
      <c r="F114" s="5"/>
      <c r="G114" s="5"/>
      <c r="H114" s="5"/>
      <c r="I114" s="5"/>
    </row>
    <row r="115" spans="1:9" ht="15">
      <c r="A115" s="52" t="s">
        <v>216</v>
      </c>
      <c r="B115" s="18">
        <f>+SUM(B2:B13)</f>
        <v>1475640.97</v>
      </c>
      <c r="C115" s="18">
        <v>1117871.97</v>
      </c>
      <c r="D115" s="5"/>
      <c r="E115" s="5"/>
      <c r="F115" s="5"/>
      <c r="G115" s="5"/>
      <c r="H115" s="5"/>
      <c r="I115" s="5"/>
    </row>
    <row r="116" spans="1:9" ht="15">
      <c r="A116" s="52" t="s">
        <v>217</v>
      </c>
      <c r="B116" s="18">
        <f>+SUM(B14:B29)</f>
        <v>582588.0799999998</v>
      </c>
      <c r="C116" s="18">
        <v>599255</v>
      </c>
      <c r="D116" s="5"/>
      <c r="E116" s="5"/>
      <c r="F116" s="5"/>
      <c r="G116" s="5"/>
      <c r="H116" s="5"/>
      <c r="I116" s="5"/>
    </row>
    <row r="117" spans="1:9" ht="15">
      <c r="A117" s="52" t="s">
        <v>218</v>
      </c>
      <c r="B117" s="18">
        <f>+SUM(B30:B75)</f>
        <v>971661.9900000003</v>
      </c>
      <c r="C117" s="18">
        <v>965937.37</v>
      </c>
      <c r="D117" s="5"/>
      <c r="E117" s="5"/>
      <c r="F117" s="5"/>
      <c r="G117" s="5"/>
      <c r="H117" s="5"/>
      <c r="I117" s="5"/>
    </row>
    <row r="118" spans="1:9" ht="15">
      <c r="A118" s="52" t="s">
        <v>219</v>
      </c>
      <c r="B118" s="18">
        <f>+SUM(B76:B109)</f>
        <v>636356.49</v>
      </c>
      <c r="C118" s="18">
        <v>390403.16</v>
      </c>
      <c r="D118" s="5"/>
      <c r="E118" s="5"/>
      <c r="F118" s="5"/>
      <c r="G118" s="5"/>
      <c r="H118" s="5"/>
      <c r="I118" s="5"/>
    </row>
    <row r="119" spans="1:9" ht="15">
      <c r="A119" s="52"/>
      <c r="B119" s="18">
        <f>+SUM(B115:B118)</f>
        <v>3666247.5300000003</v>
      </c>
      <c r="C119" s="18">
        <f>+SUM(C113:C118)</f>
        <v>4125957.08</v>
      </c>
      <c r="D119" s="5"/>
      <c r="E119" s="5"/>
      <c r="F119" s="5"/>
      <c r="G119" s="5"/>
      <c r="H119" s="5"/>
      <c r="I119" s="5"/>
    </row>
    <row r="120" spans="1:9" ht="15">
      <c r="A120" s="52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52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52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52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52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52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52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52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52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52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52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52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52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52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52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52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52"/>
      <c r="B136" s="5"/>
      <c r="C136" s="5"/>
      <c r="D136" s="5"/>
      <c r="E136" s="5"/>
      <c r="F136" s="5"/>
      <c r="G136" s="5"/>
      <c r="H136" s="5"/>
      <c r="I13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Crt</dc:creator>
  <cp:keywords/>
  <dc:description/>
  <cp:lastModifiedBy>Crt</cp:lastModifiedBy>
  <dcterms:created xsi:type="dcterms:W3CDTF">2014-08-20T11:37:12Z</dcterms:created>
  <dcterms:modified xsi:type="dcterms:W3CDTF">2015-01-10T09:08:55Z</dcterms:modified>
  <cp:category/>
  <cp:version/>
  <cp:contentType/>
  <cp:contentStatus/>
</cp:coreProperties>
</file>